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4385" activeTab="1"/>
  </bookViews>
  <sheets>
    <sheet name="Rocket Planner" sheetId="1" r:id="rId1"/>
    <sheet name="Refinery Planner" sheetId="2" r:id="rId2"/>
  </sheets>
  <calcPr calcId="125725"/>
</workbook>
</file>

<file path=xl/calcChain.xml><?xml version="1.0" encoding="utf-8"?>
<calcChain xmlns="http://schemas.openxmlformats.org/spreadsheetml/2006/main">
  <c r="C24" i="2"/>
  <c r="B24"/>
  <c r="F9"/>
  <c r="F10"/>
  <c r="D5"/>
  <c r="C6"/>
  <c r="B22" s="1"/>
  <c r="C22" s="1"/>
  <c r="C5"/>
  <c r="C4"/>
  <c r="D19" s="1"/>
  <c r="E19" s="1"/>
  <c r="G94" i="1"/>
  <c r="D18" i="2"/>
  <c r="E18" s="1"/>
  <c r="B18"/>
  <c r="C18" s="1"/>
  <c r="C13"/>
  <c r="D6" i="1"/>
  <c r="E6" s="1"/>
  <c r="F6" s="1"/>
  <c r="D7"/>
  <c r="E7" s="1"/>
  <c r="F7" s="1"/>
  <c r="D5"/>
  <c r="E5" s="1"/>
  <c r="B39" s="1"/>
  <c r="D40" s="1"/>
  <c r="D11"/>
  <c r="E11" s="1"/>
  <c r="B17" s="1"/>
  <c r="D18" s="1"/>
  <c r="D12"/>
  <c r="E12" s="1"/>
  <c r="B22" s="1"/>
  <c r="D13"/>
  <c r="E13" s="1"/>
  <c r="B31" s="1"/>
  <c r="D14"/>
  <c r="E14" s="1"/>
  <c r="F14" s="1"/>
  <c r="D15"/>
  <c r="E15" s="1"/>
  <c r="F15" s="1"/>
  <c r="D10"/>
  <c r="E10" s="1"/>
  <c r="F10" s="1"/>
  <c r="G10" s="1"/>
  <c r="E6" i="2" l="1"/>
  <c r="F11" i="1"/>
  <c r="F12"/>
  <c r="F13"/>
  <c r="B72"/>
  <c r="D74" s="1"/>
  <c r="E74" s="1"/>
  <c r="F74" s="1"/>
  <c r="F5"/>
  <c r="G5" s="1"/>
  <c r="B19" i="2"/>
  <c r="B20"/>
  <c r="C20" s="1"/>
  <c r="C14"/>
  <c r="D33" i="1"/>
  <c r="E33" s="1"/>
  <c r="D32"/>
  <c r="E32" s="1"/>
  <c r="F32" s="1"/>
  <c r="G32" s="1"/>
  <c r="D34"/>
  <c r="E34" s="1"/>
  <c r="F34" s="1"/>
  <c r="D41"/>
  <c r="E41" s="1"/>
  <c r="D24"/>
  <c r="E24" s="1"/>
  <c r="D23"/>
  <c r="E23" s="1"/>
  <c r="F23" s="1"/>
  <c r="G23" s="1"/>
  <c r="D19"/>
  <c r="E19" s="1"/>
  <c r="F19" s="1"/>
  <c r="D20"/>
  <c r="E20" s="1"/>
  <c r="F20" s="1"/>
  <c r="E18"/>
  <c r="F18" s="1"/>
  <c r="G18" s="1"/>
  <c r="B90"/>
  <c r="B36" l="1"/>
  <c r="D37" s="1"/>
  <c r="E37" s="1"/>
  <c r="F37" s="1"/>
  <c r="G37" s="1"/>
  <c r="F33"/>
  <c r="B26"/>
  <c r="D29" s="1"/>
  <c r="E29" s="1"/>
  <c r="F29" s="1"/>
  <c r="F24"/>
  <c r="D75"/>
  <c r="E75" s="1"/>
  <c r="B47"/>
  <c r="D49" s="1"/>
  <c r="E49" s="1"/>
  <c r="F49" s="1"/>
  <c r="F41"/>
  <c r="D73"/>
  <c r="E73" s="1"/>
  <c r="F73" s="1"/>
  <c r="G73" s="1"/>
  <c r="E5" i="2"/>
  <c r="F5" s="1"/>
  <c r="F6" s="1"/>
  <c r="C19"/>
  <c r="D91" i="1"/>
  <c r="E91" s="1"/>
  <c r="E40"/>
  <c r="F40" s="1"/>
  <c r="G40" s="1"/>
  <c r="D27" l="1"/>
  <c r="E27" s="1"/>
  <c r="F27" s="1"/>
  <c r="G27" s="1"/>
  <c r="D28"/>
  <c r="E28" s="1"/>
  <c r="F28" s="1"/>
  <c r="B77"/>
  <c r="D78" s="1"/>
  <c r="E78" s="1"/>
  <c r="F78" s="1"/>
  <c r="G78" s="1"/>
  <c r="B93"/>
  <c r="D94" s="1"/>
  <c r="E94" s="1"/>
  <c r="F91"/>
  <c r="G91" s="1"/>
  <c r="F75"/>
  <c r="D48"/>
  <c r="E48" s="1"/>
  <c r="F48" s="1"/>
  <c r="G48" s="1"/>
  <c r="D50"/>
  <c r="E50" s="1"/>
  <c r="B21" i="2"/>
  <c r="C21" s="1"/>
  <c r="G5"/>
  <c r="B25" s="1"/>
  <c r="C25" s="1"/>
  <c r="C15"/>
  <c r="D21"/>
  <c r="E21" s="1"/>
  <c r="B43" i="1"/>
  <c r="B80" l="1"/>
  <c r="D81" s="1"/>
  <c r="E81" s="1"/>
  <c r="F81" s="1"/>
  <c r="G81" s="1"/>
  <c r="B103"/>
  <c r="F94"/>
  <c r="B52"/>
  <c r="D54" s="1"/>
  <c r="E54" s="1"/>
  <c r="F54" s="1"/>
  <c r="F50"/>
  <c r="B23" i="2"/>
  <c r="C23" s="1"/>
  <c r="G6"/>
  <c r="D44" i="1"/>
  <c r="E44" s="1"/>
  <c r="D45"/>
  <c r="E45" s="1"/>
  <c r="F45" s="1"/>
  <c r="D53" l="1"/>
  <c r="E53" s="1"/>
  <c r="F53" s="1"/>
  <c r="G53" s="1"/>
  <c r="B57"/>
  <c r="D58" s="1"/>
  <c r="E58" s="1"/>
  <c r="F44"/>
  <c r="G44" s="1"/>
  <c r="D55"/>
  <c r="E55" s="1"/>
  <c r="B62" l="1"/>
  <c r="D63" s="1"/>
  <c r="E63" s="1"/>
  <c r="F58"/>
  <c r="G58" s="1"/>
  <c r="B99"/>
  <c r="F55"/>
  <c r="D60"/>
  <c r="E60" s="1"/>
  <c r="D59"/>
  <c r="E59" s="1"/>
  <c r="D64" l="1"/>
  <c r="E64" s="1"/>
  <c r="F64" s="1"/>
  <c r="B69"/>
  <c r="D70" s="1"/>
  <c r="E70" s="1"/>
  <c r="F70" s="1"/>
  <c r="G70" s="1"/>
  <c r="F63"/>
  <c r="G63" s="1"/>
  <c r="B66"/>
  <c r="D67" s="1"/>
  <c r="E67" s="1"/>
  <c r="F67" s="1"/>
  <c r="G67" s="1"/>
  <c r="F60"/>
  <c r="D100"/>
  <c r="E100" s="1"/>
  <c r="F100" s="1"/>
  <c r="G100" s="1"/>
  <c r="D101"/>
  <c r="E101" s="1"/>
  <c r="F101" s="1"/>
  <c r="F59"/>
  <c r="B86"/>
  <c r="G87" s="1"/>
  <c r="B83" l="1"/>
  <c r="D84" s="1"/>
  <c r="E84" s="1"/>
  <c r="F84" s="1"/>
  <c r="G84" s="1"/>
  <c r="D87"/>
  <c r="E87" s="1"/>
  <c r="F87" s="1"/>
  <c r="D88"/>
  <c r="B105" s="1"/>
  <c r="B96"/>
  <c r="D97" s="1"/>
  <c r="E97" s="1"/>
  <c r="F97" s="1"/>
  <c r="G97" s="1"/>
  <c r="E88" l="1"/>
  <c r="F88" s="1"/>
</calcChain>
</file>

<file path=xl/sharedStrings.xml><?xml version="1.0" encoding="utf-8"?>
<sst xmlns="http://schemas.openxmlformats.org/spreadsheetml/2006/main" count="167" uniqueCount="81">
  <si>
    <t>Production Modules</t>
  </si>
  <si>
    <t>Rocket Control Unit</t>
  </si>
  <si>
    <t>Rocket Fuel</t>
  </si>
  <si>
    <t>Low Density Structure</t>
  </si>
  <si>
    <t>Speed Module</t>
  </si>
  <si>
    <t>Processing Unit</t>
  </si>
  <si>
    <t>Solid Fuel</t>
  </si>
  <si>
    <t>Advanced Circuit</t>
  </si>
  <si>
    <t>Electronic Circuit</t>
  </si>
  <si>
    <t>Needed</t>
  </si>
  <si>
    <t>Item</t>
  </si>
  <si>
    <t>Ingredient</t>
  </si>
  <si>
    <t>Plastic</t>
  </si>
  <si>
    <t>Copper Cables</t>
  </si>
  <si>
    <t>Steel Plate</t>
  </si>
  <si>
    <t>Copper Plate</t>
  </si>
  <si>
    <t>Iron Plate</t>
  </si>
  <si>
    <t>Coal</t>
  </si>
  <si>
    <t>Petroleum</t>
  </si>
  <si>
    <t>Light Oil</t>
  </si>
  <si>
    <t>Iron Ore</t>
  </si>
  <si>
    <t>Copper Ore</t>
  </si>
  <si>
    <t>Iron Plate (Steel)</t>
  </si>
  <si>
    <t>Iron Plate (other)</t>
  </si>
  <si>
    <t>furnaces @</t>
  </si>
  <si>
    <t>speed</t>
  </si>
  <si>
    <t>Satellite</t>
  </si>
  <si>
    <t>Solar Panel</t>
  </si>
  <si>
    <t>Accumulator</t>
  </si>
  <si>
    <t>Radar</t>
  </si>
  <si>
    <t>Battery</t>
  </si>
  <si>
    <t>Sulphuric Acid</t>
  </si>
  <si>
    <t>Total Ingredients Needed</t>
  </si>
  <si>
    <t>Recipe Quantity</t>
  </si>
  <si>
    <t>Rocket Steps</t>
  </si>
  <si>
    <t>Sulphur</t>
  </si>
  <si>
    <t>Water</t>
  </si>
  <si>
    <t>Iron</t>
  </si>
  <si>
    <t>Iron Gear</t>
  </si>
  <si>
    <t>Ingredients/Rocket</t>
  </si>
  <si>
    <t>Ingredients/Minute</t>
  </si>
  <si>
    <t>Production Units Required</t>
  </si>
  <si>
    <t>Rockets/Minute Goal:</t>
  </si>
  <si>
    <t>Assemblers @</t>
  </si>
  <si>
    <t>Refinery Cycles</t>
  </si>
  <si>
    <t>Heavy&gt;Light</t>
  </si>
  <si>
    <t>Excess Light</t>
  </si>
  <si>
    <t>After Cracking Light</t>
  </si>
  <si>
    <t>Heavy Oil</t>
  </si>
  <si>
    <t>Petrol</t>
  </si>
  <si>
    <t>Total Refineries</t>
  </si>
  <si>
    <t>Total Heavy Cracking</t>
  </si>
  <si>
    <t>Total Light Cracking</t>
  </si>
  <si>
    <t>Water Total</t>
  </si>
  <si>
    <t>Water/second</t>
  </si>
  <si>
    <t>Light for Petrol Conversion</t>
  </si>
  <si>
    <t>Initial Petrol</t>
  </si>
  <si>
    <t>Copper Cables (Red Circuits)</t>
  </si>
  <si>
    <t>Copper Cables (Green Circuits)</t>
  </si>
  <si>
    <t>Refineries</t>
  </si>
  <si>
    <t>refineries @</t>
  </si>
  <si>
    <t>assemblers @</t>
  </si>
  <si>
    <t>Rocket Pads @</t>
  </si>
  <si>
    <t>(40 seconds of prep/launching animations)</t>
  </si>
  <si>
    <t>Reserved Light Oil for Solid Fuel</t>
  </si>
  <si>
    <t>Light &gt; Solid Fuel Consumption</t>
  </si>
  <si>
    <t>Heavy to Light Conversion</t>
  </si>
  <si>
    <t>Speed</t>
  </si>
  <si>
    <t>Prod 3 Modules</t>
  </si>
  <si>
    <t>Refinery Crude Consumption</t>
  </si>
  <si>
    <t>After Cracking Heavy</t>
  </si>
  <si>
    <t>Required Light Oil</t>
  </si>
  <si>
    <t>Required Petroleum</t>
  </si>
  <si>
    <t>(From Other Sheet)</t>
  </si>
  <si>
    <t>Petrol Created from Cracking</t>
  </si>
  <si>
    <t>Light Created from Cracking</t>
  </si>
  <si>
    <t>Fluid Total</t>
  </si>
  <si>
    <t>Fluid/second</t>
  </si>
  <si>
    <t>Heavy&gt;Light Chemplants</t>
  </si>
  <si>
    <t>Light&gt;Petrol Chemplants</t>
  </si>
  <si>
    <t>Total Petrol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</si>
</sst>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6">
    <xf numFmtId="0" fontId="0" fillId="0" borderId="0" xfId="0"/>
    <xf numFmtId="0" fontId="1" fillId="2" borderId="0" xfId="1" applyAlignment="1">
      <alignment horizontal="right"/>
    </xf>
    <xf numFmtId="0" fontId="1" fillId="2" borderId="0" xfId="1"/>
    <xf numFmtId="0" fontId="2" fillId="3" borderId="0" xfId="2" applyAlignment="1">
      <alignment horizontal="right"/>
    </xf>
    <xf numFmtId="0" fontId="2" fillId="3" borderId="0" xfId="2"/>
    <xf numFmtId="0" fontId="3" fillId="4" borderId="0" xfId="3"/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5"/>
  <sheetViews>
    <sheetView workbookViewId="0">
      <pane ySplit="2" topLeftCell="A78" activePane="bottomLeft" state="frozen"/>
      <selection pane="bottomLeft" activeCell="H100" sqref="H100"/>
    </sheetView>
  </sheetViews>
  <sheetFormatPr defaultRowHeight="15"/>
  <cols>
    <col min="1" max="1" width="28.5703125" bestFit="1" customWidth="1"/>
    <col min="2" max="2" width="22.28515625" bestFit="1" customWidth="1"/>
    <col min="3" max="3" width="15.28515625" bestFit="1" customWidth="1"/>
    <col min="4" max="4" width="24" bestFit="1" customWidth="1"/>
    <col min="5" max="5" width="20.42578125" bestFit="1" customWidth="1"/>
    <col min="6" max="6" width="18.7109375" style="2" bestFit="1" customWidth="1"/>
    <col min="7" max="7" width="21" bestFit="1" customWidth="1"/>
    <col min="8" max="8" width="13.28515625" bestFit="1" customWidth="1"/>
  </cols>
  <sheetData>
    <row r="1" spans="1:8">
      <c r="A1" t="s">
        <v>10</v>
      </c>
      <c r="B1" t="s">
        <v>9</v>
      </c>
      <c r="D1" s="4" t="s">
        <v>0</v>
      </c>
      <c r="E1" s="1" t="s">
        <v>42</v>
      </c>
      <c r="F1" s="3">
        <v>1</v>
      </c>
    </row>
    <row r="2" spans="1:8">
      <c r="B2" t="s">
        <v>11</v>
      </c>
      <c r="C2" t="s">
        <v>33</v>
      </c>
      <c r="D2" t="s">
        <v>32</v>
      </c>
      <c r="E2" t="s">
        <v>39</v>
      </c>
      <c r="F2" s="2" t="s">
        <v>40</v>
      </c>
      <c r="G2" t="s">
        <v>41</v>
      </c>
    </row>
    <row r="4" spans="1:8">
      <c r="A4" t="s">
        <v>34</v>
      </c>
      <c r="B4">
        <v>100</v>
      </c>
      <c r="D4" s="4">
        <v>0</v>
      </c>
    </row>
    <row r="5" spans="1:8">
      <c r="B5" t="s">
        <v>1</v>
      </c>
      <c r="C5">
        <v>10</v>
      </c>
      <c r="D5">
        <f>$B$4*C5</f>
        <v>1000</v>
      </c>
      <c r="E5">
        <f>CEILING(D5/(1+0.1*$D$4),10)</f>
        <v>1000</v>
      </c>
      <c r="F5" s="2">
        <f>E5*$F$1</f>
        <v>1000</v>
      </c>
      <c r="G5">
        <f>F5/60*3/C5</f>
        <v>5</v>
      </c>
      <c r="H5" t="s">
        <v>62</v>
      </c>
    </row>
    <row r="6" spans="1:8">
      <c r="B6" t="s">
        <v>2</v>
      </c>
      <c r="C6">
        <v>10</v>
      </c>
      <c r="D6">
        <f t="shared" ref="D6:D7" si="0">$B$4*C6</f>
        <v>1000</v>
      </c>
      <c r="E6">
        <f>CEILING(D6/(1+0.1*$D$4),10)</f>
        <v>1000</v>
      </c>
      <c r="F6" s="2">
        <f t="shared" ref="F6:F67" si="1">E6*$F$1</f>
        <v>1000</v>
      </c>
      <c r="G6" s="4">
        <v>1</v>
      </c>
      <c r="H6" t="s">
        <v>25</v>
      </c>
    </row>
    <row r="7" spans="1:8">
      <c r="B7" t="s">
        <v>3</v>
      </c>
      <c r="C7">
        <v>10</v>
      </c>
      <c r="D7">
        <f t="shared" si="0"/>
        <v>1000</v>
      </c>
      <c r="E7">
        <f>CEILING(D7/(1+0.1*$D$4),10)</f>
        <v>1000</v>
      </c>
      <c r="F7" s="2">
        <f t="shared" si="1"/>
        <v>1000</v>
      </c>
      <c r="H7" t="s">
        <v>63</v>
      </c>
    </row>
    <row r="9" spans="1:8">
      <c r="A9" t="s">
        <v>26</v>
      </c>
      <c r="B9">
        <v>1</v>
      </c>
      <c r="D9" s="4">
        <v>0</v>
      </c>
    </row>
    <row r="10" spans="1:8">
      <c r="B10" t="s">
        <v>3</v>
      </c>
      <c r="C10">
        <v>100</v>
      </c>
      <c r="D10">
        <f>$B$9*C10</f>
        <v>100</v>
      </c>
      <c r="E10">
        <f>CEILING(D10/(1+0.1*$D$9),1)</f>
        <v>100</v>
      </c>
      <c r="F10" s="2">
        <f t="shared" si="1"/>
        <v>100</v>
      </c>
      <c r="G10">
        <f>F10/60*3/C10/G11</f>
        <v>0.04</v>
      </c>
      <c r="H10" t="s">
        <v>61</v>
      </c>
    </row>
    <row r="11" spans="1:8">
      <c r="B11" t="s">
        <v>27</v>
      </c>
      <c r="C11">
        <v>100</v>
      </c>
      <c r="D11">
        <f t="shared" ref="D11:D15" si="2">$B$9*C11</f>
        <v>100</v>
      </c>
      <c r="E11">
        <f t="shared" ref="E11:E15" si="3">CEILING(D11/(1+0.1*$D$9),1)</f>
        <v>100</v>
      </c>
      <c r="F11" s="2">
        <f t="shared" si="1"/>
        <v>100</v>
      </c>
      <c r="G11" s="4">
        <v>1.25</v>
      </c>
      <c r="H11" t="s">
        <v>25</v>
      </c>
    </row>
    <row r="12" spans="1:8">
      <c r="B12" t="s">
        <v>28</v>
      </c>
      <c r="C12">
        <v>100</v>
      </c>
      <c r="D12">
        <f t="shared" si="2"/>
        <v>100</v>
      </c>
      <c r="E12">
        <f t="shared" si="3"/>
        <v>100</v>
      </c>
      <c r="F12" s="2">
        <f t="shared" si="1"/>
        <v>100</v>
      </c>
    </row>
    <row r="13" spans="1:8">
      <c r="B13" t="s">
        <v>29</v>
      </c>
      <c r="C13">
        <v>5</v>
      </c>
      <c r="D13">
        <f t="shared" si="2"/>
        <v>5</v>
      </c>
      <c r="E13">
        <f t="shared" si="3"/>
        <v>5</v>
      </c>
      <c r="F13" s="2">
        <f t="shared" si="1"/>
        <v>5</v>
      </c>
    </row>
    <row r="14" spans="1:8">
      <c r="B14" t="s">
        <v>5</v>
      </c>
      <c r="C14">
        <v>100</v>
      </c>
      <c r="D14">
        <f t="shared" si="2"/>
        <v>100</v>
      </c>
      <c r="E14">
        <f t="shared" si="3"/>
        <v>100</v>
      </c>
      <c r="F14" s="2">
        <f t="shared" si="1"/>
        <v>100</v>
      </c>
    </row>
    <row r="15" spans="1:8">
      <c r="B15" t="s">
        <v>2</v>
      </c>
      <c r="C15">
        <v>50</v>
      </c>
      <c r="D15">
        <f t="shared" si="2"/>
        <v>50</v>
      </c>
      <c r="E15">
        <f t="shared" si="3"/>
        <v>50</v>
      </c>
      <c r="F15" s="2">
        <f t="shared" si="1"/>
        <v>50</v>
      </c>
    </row>
    <row r="17" spans="1:8">
      <c r="A17" t="s">
        <v>27</v>
      </c>
      <c r="B17">
        <f>E11</f>
        <v>100</v>
      </c>
      <c r="D17" s="4">
        <v>0</v>
      </c>
    </row>
    <row r="18" spans="1:8">
      <c r="B18" t="s">
        <v>14</v>
      </c>
      <c r="C18">
        <v>5</v>
      </c>
      <c r="D18">
        <f>$B$17*C18</f>
        <v>500</v>
      </c>
      <c r="E18">
        <f>CEILING(D18/(1+0.1*$D$17),1)</f>
        <v>500</v>
      </c>
      <c r="F18" s="2">
        <f t="shared" si="1"/>
        <v>500</v>
      </c>
      <c r="G18">
        <f>F18/60*10/C18/G19</f>
        <v>13.333333333333334</v>
      </c>
      <c r="H18" t="s">
        <v>61</v>
      </c>
    </row>
    <row r="19" spans="1:8">
      <c r="B19" t="s">
        <v>8</v>
      </c>
      <c r="C19">
        <v>15</v>
      </c>
      <c r="D19">
        <f t="shared" ref="D19:D20" si="4">$B$17*C19</f>
        <v>1500</v>
      </c>
      <c r="E19">
        <f t="shared" ref="E19:E20" si="5">CEILING(D19/(1+0.1*$D$17),1)</f>
        <v>1500</v>
      </c>
      <c r="F19" s="2">
        <f t="shared" si="1"/>
        <v>1500</v>
      </c>
      <c r="G19" s="4">
        <v>1.25</v>
      </c>
      <c r="H19" t="s">
        <v>25</v>
      </c>
    </row>
    <row r="20" spans="1:8">
      <c r="B20" t="s">
        <v>15</v>
      </c>
      <c r="C20">
        <v>5</v>
      </c>
      <c r="D20">
        <f t="shared" si="4"/>
        <v>500</v>
      </c>
      <c r="E20">
        <f t="shared" si="5"/>
        <v>500</v>
      </c>
      <c r="F20" s="2">
        <f t="shared" si="1"/>
        <v>500</v>
      </c>
    </row>
    <row r="22" spans="1:8">
      <c r="A22" t="s">
        <v>28</v>
      </c>
      <c r="B22">
        <f>E12</f>
        <v>100</v>
      </c>
      <c r="D22" s="4">
        <v>0</v>
      </c>
    </row>
    <row r="23" spans="1:8">
      <c r="B23" t="s">
        <v>16</v>
      </c>
      <c r="C23">
        <v>2</v>
      </c>
      <c r="D23">
        <f>$B$22*C23</f>
        <v>200</v>
      </c>
      <c r="E23">
        <f>CEILING(D23/(1+0.1*$D$22),1)</f>
        <v>200</v>
      </c>
      <c r="F23" s="2">
        <f t="shared" si="1"/>
        <v>200</v>
      </c>
      <c r="G23">
        <f>F23/60*10/C23/G24</f>
        <v>13.333333333333334</v>
      </c>
      <c r="H23" t="s">
        <v>61</v>
      </c>
    </row>
    <row r="24" spans="1:8">
      <c r="B24" t="s">
        <v>30</v>
      </c>
      <c r="C24">
        <v>5</v>
      </c>
      <c r="D24">
        <f>$B$22*C24</f>
        <v>500</v>
      </c>
      <c r="E24">
        <f>CEILING(D24/(1+0.1*$D$22),1)</f>
        <v>500</v>
      </c>
      <c r="F24" s="2">
        <f t="shared" si="1"/>
        <v>500</v>
      </c>
      <c r="G24" s="4">
        <v>1.25</v>
      </c>
      <c r="H24" t="s">
        <v>25</v>
      </c>
    </row>
    <row r="26" spans="1:8">
      <c r="A26" t="s">
        <v>30</v>
      </c>
      <c r="B26">
        <f>E24</f>
        <v>500</v>
      </c>
      <c r="D26" s="4">
        <v>0</v>
      </c>
    </row>
    <row r="27" spans="1:8">
      <c r="B27" t="s">
        <v>16</v>
      </c>
      <c r="C27">
        <v>1</v>
      </c>
      <c r="D27">
        <f>$B$26*C27</f>
        <v>500</v>
      </c>
      <c r="E27">
        <f>CEILING(D27/(1+0.1*$D$26),1)</f>
        <v>500</v>
      </c>
      <c r="F27" s="2">
        <f t="shared" si="1"/>
        <v>500</v>
      </c>
      <c r="G27">
        <f>F27/60/G28</f>
        <v>6.666666666666667</v>
      </c>
      <c r="H27" t="s">
        <v>60</v>
      </c>
    </row>
    <row r="28" spans="1:8">
      <c r="B28" t="s">
        <v>15</v>
      </c>
      <c r="C28">
        <v>1</v>
      </c>
      <c r="D28">
        <f t="shared" ref="D28:D29" si="6">$B$26*C28</f>
        <v>500</v>
      </c>
      <c r="E28">
        <f t="shared" ref="E28:E29" si="7">CEILING(D28/(1+0.1*$D$26),1)</f>
        <v>500</v>
      </c>
      <c r="F28" s="2">
        <f t="shared" si="1"/>
        <v>500</v>
      </c>
      <c r="G28" s="4">
        <v>1.25</v>
      </c>
      <c r="H28" t="s">
        <v>25</v>
      </c>
    </row>
    <row r="29" spans="1:8">
      <c r="B29" t="s">
        <v>31</v>
      </c>
      <c r="C29">
        <v>2</v>
      </c>
      <c r="D29">
        <f t="shared" si="6"/>
        <v>1000</v>
      </c>
      <c r="E29">
        <f t="shared" si="7"/>
        <v>1000</v>
      </c>
      <c r="F29" s="2">
        <f t="shared" si="1"/>
        <v>1000</v>
      </c>
    </row>
    <row r="31" spans="1:8">
      <c r="A31" t="s">
        <v>29</v>
      </c>
      <c r="B31">
        <f>E13</f>
        <v>5</v>
      </c>
      <c r="D31" s="4">
        <v>0</v>
      </c>
    </row>
    <row r="32" spans="1:8">
      <c r="B32" t="s">
        <v>8</v>
      </c>
      <c r="C32">
        <v>5</v>
      </c>
      <c r="D32">
        <f>$B$31*C32</f>
        <v>25</v>
      </c>
      <c r="E32">
        <f>CEILING(D32/(1+0.1*$D$31),1)</f>
        <v>25</v>
      </c>
      <c r="F32" s="2">
        <f t="shared" si="1"/>
        <v>25</v>
      </c>
      <c r="G32">
        <f>F32/60*0.5/5/G33</f>
        <v>3.333333333333334E-2</v>
      </c>
      <c r="H32" t="s">
        <v>61</v>
      </c>
    </row>
    <row r="33" spans="1:8">
      <c r="B33" t="s">
        <v>38</v>
      </c>
      <c r="C33">
        <v>5</v>
      </c>
      <c r="D33">
        <f t="shared" ref="D33:D34" si="8">$B$31*C33</f>
        <v>25</v>
      </c>
      <c r="E33">
        <f t="shared" ref="E33:E34" si="9">CEILING(D33/(1+0.1*$D$31),1)</f>
        <v>25</v>
      </c>
      <c r="F33" s="2">
        <f t="shared" si="1"/>
        <v>25</v>
      </c>
      <c r="G33" s="4">
        <v>1.25</v>
      </c>
      <c r="H33" t="s">
        <v>25</v>
      </c>
    </row>
    <row r="34" spans="1:8">
      <c r="B34" t="s">
        <v>16</v>
      </c>
      <c r="C34">
        <v>10</v>
      </c>
      <c r="D34">
        <f t="shared" si="8"/>
        <v>50</v>
      </c>
      <c r="E34">
        <f t="shared" si="9"/>
        <v>50</v>
      </c>
      <c r="F34" s="2">
        <f t="shared" si="1"/>
        <v>50</v>
      </c>
    </row>
    <row r="36" spans="1:8">
      <c r="A36" t="s">
        <v>38</v>
      </c>
      <c r="B36">
        <f>E33</f>
        <v>25</v>
      </c>
      <c r="D36" s="4">
        <v>0</v>
      </c>
    </row>
    <row r="37" spans="1:8">
      <c r="B37" t="s">
        <v>16</v>
      </c>
      <c r="C37">
        <v>2</v>
      </c>
      <c r="D37">
        <f>$B$36*C37</f>
        <v>50</v>
      </c>
      <c r="E37">
        <f>CEILING(D37/(1+0.1*$D$36),1)</f>
        <v>50</v>
      </c>
      <c r="F37" s="2">
        <f t="shared" si="1"/>
        <v>50</v>
      </c>
      <c r="G37">
        <f>F37/60*0.5/C37/G38</f>
        <v>0.16666666666666669</v>
      </c>
      <c r="H37" t="s">
        <v>61</v>
      </c>
    </row>
    <row r="38" spans="1:8">
      <c r="G38" s="4">
        <v>1.25</v>
      </c>
      <c r="H38" t="s">
        <v>25</v>
      </c>
    </row>
    <row r="39" spans="1:8">
      <c r="A39" t="s">
        <v>1</v>
      </c>
      <c r="B39">
        <f>E5</f>
        <v>1000</v>
      </c>
      <c r="D39" s="4">
        <v>0</v>
      </c>
    </row>
    <row r="40" spans="1:8">
      <c r="B40" t="s">
        <v>4</v>
      </c>
      <c r="C40">
        <v>1</v>
      </c>
      <c r="D40">
        <f>$B$39*C40</f>
        <v>1000</v>
      </c>
      <c r="E40">
        <f>CEILING(D40/(1+0.1*$D$39),1)</f>
        <v>1000</v>
      </c>
      <c r="F40" s="2">
        <f t="shared" si="1"/>
        <v>1000</v>
      </c>
      <c r="G40">
        <f>F40/60*30/G41</f>
        <v>400.00000000000006</v>
      </c>
      <c r="H40" t="s">
        <v>61</v>
      </c>
    </row>
    <row r="41" spans="1:8">
      <c r="B41" t="s">
        <v>5</v>
      </c>
      <c r="C41">
        <v>1</v>
      </c>
      <c r="D41">
        <f>$B$39*C41</f>
        <v>1000</v>
      </c>
      <c r="E41">
        <f>CEILING(D41/(1+0.1*$D$39),1)</f>
        <v>1000</v>
      </c>
      <c r="F41" s="2">
        <f t="shared" si="1"/>
        <v>1000</v>
      </c>
      <c r="G41" s="4">
        <v>1.25</v>
      </c>
      <c r="H41" t="s">
        <v>25</v>
      </c>
    </row>
    <row r="43" spans="1:8">
      <c r="A43" t="s">
        <v>4</v>
      </c>
      <c r="B43">
        <f>E40</f>
        <v>1000</v>
      </c>
      <c r="D43" s="4">
        <v>0</v>
      </c>
    </row>
    <row r="44" spans="1:8">
      <c r="B44" t="s">
        <v>7</v>
      </c>
      <c r="C44">
        <v>5</v>
      </c>
      <c r="D44">
        <f>$B$43*C44</f>
        <v>5000</v>
      </c>
      <c r="E44">
        <f>D44</f>
        <v>5000</v>
      </c>
      <c r="F44" s="2">
        <f t="shared" si="1"/>
        <v>5000</v>
      </c>
      <c r="G44">
        <f>F44/60/C44*15/G45</f>
        <v>199.99999999999997</v>
      </c>
      <c r="H44" t="s">
        <v>61</v>
      </c>
    </row>
    <row r="45" spans="1:8">
      <c r="B45" t="s">
        <v>8</v>
      </c>
      <c r="C45">
        <v>5</v>
      </c>
      <c r="D45">
        <f>$B$43*C45</f>
        <v>5000</v>
      </c>
      <c r="E45">
        <f>D45</f>
        <v>5000</v>
      </c>
      <c r="F45" s="2">
        <f t="shared" si="1"/>
        <v>5000</v>
      </c>
      <c r="G45" s="4">
        <v>1.25</v>
      </c>
      <c r="H45" t="s">
        <v>25</v>
      </c>
    </row>
    <row r="47" spans="1:8">
      <c r="A47" t="s">
        <v>5</v>
      </c>
      <c r="B47">
        <f>E41+E14</f>
        <v>1100</v>
      </c>
      <c r="D47" s="4">
        <v>0</v>
      </c>
    </row>
    <row r="48" spans="1:8">
      <c r="B48" t="s">
        <v>7</v>
      </c>
      <c r="C48">
        <v>2</v>
      </c>
      <c r="D48">
        <f>$B$47*C48</f>
        <v>2200</v>
      </c>
      <c r="E48">
        <f>CEILING(D48/(1+0.1*$D$47),1)</f>
        <v>2200</v>
      </c>
      <c r="F48" s="2">
        <f t="shared" si="1"/>
        <v>2200</v>
      </c>
      <c r="G48">
        <f>F48/60/C48*15/G49</f>
        <v>220</v>
      </c>
      <c r="H48" t="s">
        <v>61</v>
      </c>
    </row>
    <row r="49" spans="1:8">
      <c r="B49" t="s">
        <v>8</v>
      </c>
      <c r="C49">
        <v>20</v>
      </c>
      <c r="D49">
        <f t="shared" ref="D49:D50" si="10">$B$47*C49</f>
        <v>22000</v>
      </c>
      <c r="E49">
        <f t="shared" ref="E49:E50" si="11">CEILING(D49/(1+0.1*$D$47),1)</f>
        <v>22000</v>
      </c>
      <c r="F49" s="2">
        <f t="shared" si="1"/>
        <v>22000</v>
      </c>
      <c r="G49" s="4">
        <v>1.25</v>
      </c>
      <c r="H49" t="s">
        <v>25</v>
      </c>
    </row>
    <row r="50" spans="1:8">
      <c r="B50" t="s">
        <v>31</v>
      </c>
      <c r="C50">
        <v>0.5</v>
      </c>
      <c r="D50">
        <f t="shared" si="10"/>
        <v>550</v>
      </c>
      <c r="E50">
        <f t="shared" si="11"/>
        <v>550</v>
      </c>
      <c r="F50" s="2">
        <f t="shared" si="1"/>
        <v>550</v>
      </c>
    </row>
    <row r="52" spans="1:8">
      <c r="A52" t="s">
        <v>31</v>
      </c>
      <c r="B52">
        <f>E50+E29</f>
        <v>1550</v>
      </c>
      <c r="D52" s="4">
        <v>0</v>
      </c>
    </row>
    <row r="53" spans="1:8">
      <c r="B53" t="s">
        <v>36</v>
      </c>
      <c r="C53">
        <v>2</v>
      </c>
      <c r="D53">
        <f>$B$52*C53</f>
        <v>3100</v>
      </c>
      <c r="E53">
        <f>CEILING(D53/(1+0.1*$D$52),1)</f>
        <v>3100</v>
      </c>
      <c r="F53" s="2">
        <f t="shared" si="1"/>
        <v>3100</v>
      </c>
      <c r="G53">
        <f>F53/60/C53/G54</f>
        <v>20.666666666666664</v>
      </c>
      <c r="H53" t="s">
        <v>60</v>
      </c>
    </row>
    <row r="54" spans="1:8">
      <c r="B54" t="s">
        <v>37</v>
      </c>
      <c r="C54">
        <v>0.2</v>
      </c>
      <c r="D54">
        <f t="shared" ref="D54:D55" si="12">$B$52*C54</f>
        <v>310</v>
      </c>
      <c r="E54">
        <f t="shared" ref="E54:E55" si="13">CEILING(D54/(1+0.1*$D$52),1)</f>
        <v>310</v>
      </c>
      <c r="F54" s="2">
        <f t="shared" si="1"/>
        <v>310</v>
      </c>
      <c r="G54" s="4">
        <v>1.25</v>
      </c>
      <c r="H54" t="s">
        <v>25</v>
      </c>
    </row>
    <row r="55" spans="1:8">
      <c r="B55" t="s">
        <v>35</v>
      </c>
      <c r="C55">
        <v>1</v>
      </c>
      <c r="D55">
        <f t="shared" si="12"/>
        <v>1550</v>
      </c>
      <c r="E55">
        <f t="shared" si="13"/>
        <v>1550</v>
      </c>
      <c r="F55" s="2">
        <f t="shared" si="1"/>
        <v>1550</v>
      </c>
    </row>
    <row r="57" spans="1:8">
      <c r="A57" t="s">
        <v>7</v>
      </c>
      <c r="B57">
        <f>E44+E48</f>
        <v>7200</v>
      </c>
      <c r="D57" s="4">
        <v>0</v>
      </c>
    </row>
    <row r="58" spans="1:8">
      <c r="B58" t="s">
        <v>8</v>
      </c>
      <c r="C58">
        <v>2</v>
      </c>
      <c r="D58">
        <f>$B$57*C58</f>
        <v>14400</v>
      </c>
      <c r="E58">
        <f>CEILING(D58/(1+0.1*$D$57),1)</f>
        <v>14400</v>
      </c>
      <c r="F58" s="2">
        <f t="shared" si="1"/>
        <v>14400</v>
      </c>
      <c r="G58">
        <f>F58/60/2*8/1.25</f>
        <v>768</v>
      </c>
      <c r="H58" t="s">
        <v>61</v>
      </c>
    </row>
    <row r="59" spans="1:8">
      <c r="B59" t="s">
        <v>12</v>
      </c>
      <c r="C59">
        <v>2</v>
      </c>
      <c r="D59">
        <f t="shared" ref="D59:D60" si="14">$B$57*C59</f>
        <v>14400</v>
      </c>
      <c r="E59">
        <f t="shared" ref="E59:E60" si="15">CEILING(D59/(1+0.1*$D$57),1)</f>
        <v>14400</v>
      </c>
      <c r="F59" s="2">
        <f t="shared" si="1"/>
        <v>14400</v>
      </c>
      <c r="G59" s="4">
        <v>1.25</v>
      </c>
      <c r="H59" t="s">
        <v>25</v>
      </c>
    </row>
    <row r="60" spans="1:8">
      <c r="B60" t="s">
        <v>13</v>
      </c>
      <c r="C60">
        <v>4</v>
      </c>
      <c r="D60">
        <f t="shared" si="14"/>
        <v>28800</v>
      </c>
      <c r="E60">
        <f t="shared" si="15"/>
        <v>28800</v>
      </c>
      <c r="F60" s="2">
        <f t="shared" si="1"/>
        <v>28800</v>
      </c>
    </row>
    <row r="62" spans="1:8">
      <c r="A62" t="s">
        <v>8</v>
      </c>
      <c r="B62">
        <f>E45+E49+E58+E32+E19</f>
        <v>42925</v>
      </c>
      <c r="D62" s="4">
        <v>0</v>
      </c>
    </row>
    <row r="63" spans="1:8">
      <c r="B63" t="s">
        <v>13</v>
      </c>
      <c r="C63">
        <v>3</v>
      </c>
      <c r="D63">
        <f>$B$62*C63</f>
        <v>128775</v>
      </c>
      <c r="E63">
        <f>CEILING(D63/(1+0.1*$D$62),1)</f>
        <v>128775</v>
      </c>
      <c r="F63" s="2">
        <f t="shared" si="1"/>
        <v>128775</v>
      </c>
      <c r="G63">
        <f>F63/60*0.5/3/G64</f>
        <v>286.16666666666663</v>
      </c>
      <c r="H63" t="s">
        <v>61</v>
      </c>
    </row>
    <row r="64" spans="1:8">
      <c r="B64" t="s">
        <v>16</v>
      </c>
      <c r="C64">
        <v>1</v>
      </c>
      <c r="D64">
        <f>$B$62*C64</f>
        <v>42925</v>
      </c>
      <c r="E64">
        <f>CEILING(D64/(1+0.1*$D$62),1)</f>
        <v>42925</v>
      </c>
      <c r="F64" s="2">
        <f t="shared" si="1"/>
        <v>42925</v>
      </c>
      <c r="G64" s="4">
        <v>1.25</v>
      </c>
      <c r="H64" t="s">
        <v>25</v>
      </c>
    </row>
    <row r="66" spans="1:8">
      <c r="A66" t="s">
        <v>57</v>
      </c>
      <c r="B66">
        <f>E60</f>
        <v>28800</v>
      </c>
      <c r="D66" s="4">
        <v>0</v>
      </c>
    </row>
    <row r="67" spans="1:8">
      <c r="B67" t="s">
        <v>15</v>
      </c>
      <c r="C67">
        <v>0.5</v>
      </c>
      <c r="D67">
        <f>$B$66*C67</f>
        <v>14400</v>
      </c>
      <c r="E67">
        <f>CEILING(D67/(1+0.1*$D$66),1)</f>
        <v>14400</v>
      </c>
      <c r="F67" s="2">
        <f t="shared" si="1"/>
        <v>14400</v>
      </c>
      <c r="G67">
        <f>F67/60*0.5/C67/G68</f>
        <v>192</v>
      </c>
      <c r="H67" t="s">
        <v>61</v>
      </c>
    </row>
    <row r="68" spans="1:8">
      <c r="G68" s="4">
        <v>1.25</v>
      </c>
      <c r="H68" t="s">
        <v>25</v>
      </c>
    </row>
    <row r="69" spans="1:8">
      <c r="A69" t="s">
        <v>58</v>
      </c>
      <c r="B69">
        <f>E63</f>
        <v>128775</v>
      </c>
      <c r="D69" s="4">
        <v>0</v>
      </c>
    </row>
    <row r="70" spans="1:8">
      <c r="B70" t="s">
        <v>15</v>
      </c>
      <c r="C70">
        <v>0.5</v>
      </c>
      <c r="D70">
        <f>$B$69*C70</f>
        <v>64387.5</v>
      </c>
      <c r="E70">
        <f>CEILING(D70/(1+0.1*$D$69),1)</f>
        <v>64388</v>
      </c>
      <c r="F70" s="2">
        <f t="shared" ref="F70:F88" si="16">E70*$F$1</f>
        <v>64388</v>
      </c>
      <c r="G70">
        <f>F70/60*0.5/C70/G71</f>
        <v>858.50666666666677</v>
      </c>
      <c r="H70" t="s">
        <v>61</v>
      </c>
    </row>
    <row r="71" spans="1:8">
      <c r="G71" s="4">
        <v>1.25</v>
      </c>
      <c r="H71" t="s">
        <v>25</v>
      </c>
    </row>
    <row r="72" spans="1:8">
      <c r="A72" t="s">
        <v>3</v>
      </c>
      <c r="B72">
        <f>E7+E10</f>
        <v>1100</v>
      </c>
      <c r="D72" s="4">
        <v>0</v>
      </c>
    </row>
    <row r="73" spans="1:8">
      <c r="B73" t="s">
        <v>14</v>
      </c>
      <c r="C73">
        <v>10</v>
      </c>
      <c r="D73">
        <f>B$72*C73</f>
        <v>11000</v>
      </c>
      <c r="E73">
        <f>CEILING(D73/(1+0.1*D$72),1)</f>
        <v>11000</v>
      </c>
      <c r="F73" s="2">
        <f t="shared" si="16"/>
        <v>11000</v>
      </c>
      <c r="G73">
        <f>F73/C73/60*30/G74</f>
        <v>440</v>
      </c>
      <c r="H73" t="s">
        <v>61</v>
      </c>
    </row>
    <row r="74" spans="1:8">
      <c r="B74" t="s">
        <v>15</v>
      </c>
      <c r="C74">
        <v>5</v>
      </c>
      <c r="D74">
        <f t="shared" ref="D74:D75" si="17">B$72*C74</f>
        <v>5500</v>
      </c>
      <c r="E74">
        <f t="shared" ref="E74:E75" si="18">CEILING(D74/(1+0.1*D$72),1)</f>
        <v>5500</v>
      </c>
      <c r="F74" s="2">
        <f t="shared" si="16"/>
        <v>5500</v>
      </c>
      <c r="G74" s="4">
        <v>1.25</v>
      </c>
      <c r="H74" t="s">
        <v>25</v>
      </c>
    </row>
    <row r="75" spans="1:8">
      <c r="B75" t="s">
        <v>12</v>
      </c>
      <c r="C75">
        <v>5</v>
      </c>
      <c r="D75">
        <f t="shared" si="17"/>
        <v>5500</v>
      </c>
      <c r="E75">
        <f t="shared" si="18"/>
        <v>5500</v>
      </c>
      <c r="F75" s="2">
        <f t="shared" si="16"/>
        <v>5500</v>
      </c>
    </row>
    <row r="77" spans="1:8">
      <c r="A77" t="s">
        <v>14</v>
      </c>
      <c r="B77">
        <f>E73+E18</f>
        <v>11500</v>
      </c>
      <c r="D77" s="4">
        <v>0</v>
      </c>
    </row>
    <row r="78" spans="1:8">
      <c r="B78" t="s">
        <v>16</v>
      </c>
      <c r="C78">
        <v>5</v>
      </c>
      <c r="D78">
        <f>$B$77*C78</f>
        <v>57500</v>
      </c>
      <c r="E78">
        <f>CEILING(D78/(1+0.1*D77),1)</f>
        <v>57500</v>
      </c>
      <c r="F78" s="2">
        <f t="shared" si="16"/>
        <v>57500</v>
      </c>
      <c r="G78">
        <f>F78/C78*17.5/60/G79</f>
        <v>1677.0833333333333</v>
      </c>
      <c r="H78" t="s">
        <v>24</v>
      </c>
    </row>
    <row r="79" spans="1:8">
      <c r="G79" s="4">
        <v>2</v>
      </c>
      <c r="H79" t="s">
        <v>25</v>
      </c>
    </row>
    <row r="80" spans="1:8">
      <c r="A80" t="s">
        <v>22</v>
      </c>
      <c r="B80">
        <f>E78</f>
        <v>57500</v>
      </c>
      <c r="D80" s="4">
        <v>0</v>
      </c>
    </row>
    <row r="81" spans="1:8">
      <c r="B81" t="s">
        <v>20</v>
      </c>
      <c r="C81">
        <v>1</v>
      </c>
      <c r="D81">
        <f>$B$80*C81</f>
        <v>57500</v>
      </c>
      <c r="E81">
        <f>CEILING(D81/(1+0.1*D80),1)</f>
        <v>57500</v>
      </c>
      <c r="F81" s="2">
        <f t="shared" si="16"/>
        <v>57500</v>
      </c>
      <c r="G81">
        <f>F81/60*3.5/G82</f>
        <v>1677.0833333333335</v>
      </c>
      <c r="H81" t="s">
        <v>24</v>
      </c>
    </row>
    <row r="82" spans="1:8">
      <c r="G82" s="4">
        <v>2</v>
      </c>
    </row>
    <row r="83" spans="1:8">
      <c r="A83" t="s">
        <v>23</v>
      </c>
      <c r="B83">
        <f>E64+E23+E27+E54+E34+E37</f>
        <v>44035</v>
      </c>
      <c r="D83" s="4">
        <v>0</v>
      </c>
    </row>
    <row r="84" spans="1:8">
      <c r="B84" t="s">
        <v>20</v>
      </c>
      <c r="C84">
        <v>1</v>
      </c>
      <c r="D84">
        <f>$B$83*C84</f>
        <v>44035</v>
      </c>
      <c r="E84">
        <f>CEILING(D84/(1+0.1*D83),1)</f>
        <v>44035</v>
      </c>
      <c r="F84" s="2">
        <f t="shared" si="16"/>
        <v>44035</v>
      </c>
      <c r="G84">
        <f>F84/60*3.5/G85</f>
        <v>1284.3541666666665</v>
      </c>
      <c r="H84" t="s">
        <v>24</v>
      </c>
    </row>
    <row r="85" spans="1:8">
      <c r="G85" s="4">
        <v>2</v>
      </c>
      <c r="H85" t="s">
        <v>25</v>
      </c>
    </row>
    <row r="86" spans="1:8">
      <c r="A86" t="s">
        <v>12</v>
      </c>
      <c r="B86">
        <f>E75+E59</f>
        <v>19900</v>
      </c>
      <c r="D86" s="4">
        <v>0</v>
      </c>
    </row>
    <row r="87" spans="1:8">
      <c r="B87" t="s">
        <v>17</v>
      </c>
      <c r="C87">
        <v>0.5</v>
      </c>
      <c r="D87">
        <f>$B$86*C87</f>
        <v>9950</v>
      </c>
      <c r="E87">
        <f>CEILING(D87/(1+0.1*D$86),1)</f>
        <v>9950</v>
      </c>
      <c r="F87" s="2">
        <f t="shared" si="16"/>
        <v>9950</v>
      </c>
      <c r="G87">
        <f>B86/60/2</f>
        <v>165.83333333333334</v>
      </c>
      <c r="H87" t="s">
        <v>60</v>
      </c>
    </row>
    <row r="88" spans="1:8">
      <c r="B88" t="s">
        <v>18</v>
      </c>
      <c r="C88">
        <v>1.5</v>
      </c>
      <c r="D88">
        <f>$B$86*C88</f>
        <v>29850</v>
      </c>
      <c r="E88">
        <f>CEILING(D88/(1+0.1*D$86),1)</f>
        <v>29850</v>
      </c>
      <c r="F88" s="2">
        <f t="shared" si="16"/>
        <v>29850</v>
      </c>
      <c r="G88" s="4">
        <v>1.25</v>
      </c>
      <c r="H88" t="s">
        <v>25</v>
      </c>
    </row>
    <row r="90" spans="1:8">
      <c r="A90" t="s">
        <v>2</v>
      </c>
      <c r="B90">
        <f>E6+E15</f>
        <v>1050</v>
      </c>
      <c r="D90" s="4">
        <v>0</v>
      </c>
    </row>
    <row r="91" spans="1:8">
      <c r="B91" t="s">
        <v>6</v>
      </c>
      <c r="C91">
        <v>10</v>
      </c>
      <c r="D91">
        <f>$B$90*C91</f>
        <v>10500</v>
      </c>
      <c r="E91">
        <f>CEILING(D91/(1+0.1*D90),1)</f>
        <v>10500</v>
      </c>
      <c r="F91" s="2">
        <f t="shared" ref="F91:F101" si="19">E91*$F$1</f>
        <v>10500</v>
      </c>
      <c r="G91">
        <f>F91/C91/60*30/G92</f>
        <v>420</v>
      </c>
      <c r="H91" t="s">
        <v>43</v>
      </c>
    </row>
    <row r="92" spans="1:8">
      <c r="G92" s="4">
        <v>1.25</v>
      </c>
      <c r="H92" t="s">
        <v>25</v>
      </c>
    </row>
    <row r="93" spans="1:8">
      <c r="A93" t="s">
        <v>6</v>
      </c>
      <c r="B93">
        <f>E91</f>
        <v>10500</v>
      </c>
      <c r="D93" s="4">
        <v>0</v>
      </c>
    </row>
    <row r="94" spans="1:8">
      <c r="B94" t="s">
        <v>19</v>
      </c>
      <c r="C94">
        <v>1</v>
      </c>
      <c r="D94">
        <f>$B$93*C94</f>
        <v>10500</v>
      </c>
      <c r="E94">
        <f>CEILING(D94/(1+0.1*D93),1)</f>
        <v>10500</v>
      </c>
      <c r="F94" s="2">
        <f t="shared" si="19"/>
        <v>10500</v>
      </c>
      <c r="G94">
        <f>10500/60*30/G95</f>
        <v>4200</v>
      </c>
      <c r="H94" t="s">
        <v>60</v>
      </c>
    </row>
    <row r="95" spans="1:8">
      <c r="G95" s="4">
        <v>1.25</v>
      </c>
      <c r="H95" t="s">
        <v>25</v>
      </c>
    </row>
    <row r="96" spans="1:8">
      <c r="A96" t="s">
        <v>15</v>
      </c>
      <c r="B96">
        <f>E67+E70+E74+E20+E28</f>
        <v>85288</v>
      </c>
      <c r="D96" s="4">
        <v>0</v>
      </c>
    </row>
    <row r="97" spans="1:8">
      <c r="B97" t="s">
        <v>21</v>
      </c>
      <c r="C97">
        <v>1</v>
      </c>
      <c r="D97">
        <f>$B$96*C97</f>
        <v>85288</v>
      </c>
      <c r="E97">
        <f>CEILING(D97/(1+0.1*D96),1)</f>
        <v>85288</v>
      </c>
      <c r="F97" s="2">
        <f t="shared" si="19"/>
        <v>85288</v>
      </c>
      <c r="G97">
        <f>F97/60*3.5/G98</f>
        <v>2487.5666666666666</v>
      </c>
      <c r="H97" t="s">
        <v>24</v>
      </c>
    </row>
    <row r="98" spans="1:8">
      <c r="G98" s="4">
        <v>2</v>
      </c>
      <c r="H98" t="s">
        <v>25</v>
      </c>
    </row>
    <row r="99" spans="1:8">
      <c r="A99" t="s">
        <v>35</v>
      </c>
      <c r="B99">
        <f>E55</f>
        <v>1550</v>
      </c>
      <c r="D99" s="4">
        <v>0</v>
      </c>
    </row>
    <row r="100" spans="1:8">
      <c r="B100" t="s">
        <v>36</v>
      </c>
      <c r="C100">
        <v>1.5</v>
      </c>
      <c r="D100">
        <f>$B$99*C100</f>
        <v>2325</v>
      </c>
      <c r="E100">
        <f>CEILING(D100/(1+0.1*$D$99),1)</f>
        <v>2325</v>
      </c>
      <c r="F100" s="2">
        <f t="shared" si="19"/>
        <v>2325</v>
      </c>
      <c r="G100">
        <f>F100/60/C100/G101</f>
        <v>20.666666666666664</v>
      </c>
      <c r="H100" t="s">
        <v>60</v>
      </c>
    </row>
    <row r="101" spans="1:8">
      <c r="B101" t="s">
        <v>18</v>
      </c>
      <c r="C101">
        <v>1.5</v>
      </c>
      <c r="D101">
        <f>$B$99*C101</f>
        <v>2325</v>
      </c>
      <c r="E101">
        <f>CEILING(D101/(1+0.1*$D$99),1)</f>
        <v>2325</v>
      </c>
      <c r="F101" s="2">
        <f t="shared" si="19"/>
        <v>2325</v>
      </c>
      <c r="G101" s="4">
        <v>1.25</v>
      </c>
      <c r="H101" t="s">
        <v>25</v>
      </c>
    </row>
    <row r="103" spans="1:8">
      <c r="A103" t="s">
        <v>19</v>
      </c>
      <c r="B103">
        <f>E94</f>
        <v>10500</v>
      </c>
    </row>
    <row r="105" spans="1:8">
      <c r="A105" t="s">
        <v>18</v>
      </c>
      <c r="B105">
        <f>D88+E101</f>
        <v>32175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C25" sqref="C25"/>
    </sheetView>
  </sheetViews>
  <sheetFormatPr defaultRowHeight="15"/>
  <cols>
    <col min="1" max="1" width="28.7109375" bestFit="1" customWidth="1"/>
    <col min="2" max="2" width="14.7109375" bestFit="1" customWidth="1"/>
    <col min="3" max="3" width="14.85546875" bestFit="1" customWidth="1"/>
    <col min="4" max="4" width="11.7109375" bestFit="1" customWidth="1"/>
    <col min="5" max="5" width="29.85546875" bestFit="1" customWidth="1"/>
    <col min="6" max="6" width="11.42578125" bestFit="1" customWidth="1"/>
    <col min="7" max="8" width="18.42578125" bestFit="1" customWidth="1"/>
  </cols>
  <sheetData>
    <row r="1" spans="1:7">
      <c r="B1" t="s">
        <v>44</v>
      </c>
      <c r="C1" s="4">
        <v>4000</v>
      </c>
      <c r="E1" t="s">
        <v>64</v>
      </c>
      <c r="F1" s="4">
        <v>10800</v>
      </c>
    </row>
    <row r="3" spans="1:7">
      <c r="D3" t="s">
        <v>45</v>
      </c>
      <c r="E3" t="s">
        <v>70</v>
      </c>
      <c r="F3" t="s">
        <v>46</v>
      </c>
      <c r="G3" t="s">
        <v>47</v>
      </c>
    </row>
    <row r="4" spans="1:7">
      <c r="A4" t="s">
        <v>48</v>
      </c>
      <c r="C4">
        <f>C1*(1+0.1*C9)</f>
        <v>4800</v>
      </c>
      <c r="E4">
        <v>0</v>
      </c>
      <c r="G4" s="2">
        <v>0</v>
      </c>
    </row>
    <row r="5" spans="1:7">
      <c r="A5" t="s">
        <v>19</v>
      </c>
      <c r="C5">
        <f>C1*4.5*(1+0.1*C9)</f>
        <v>21600</v>
      </c>
      <c r="D5">
        <f>C4*3/4*(1+0.1*C10)</f>
        <v>4320</v>
      </c>
      <c r="E5">
        <f>C5+D5</f>
        <v>25920</v>
      </c>
      <c r="F5">
        <f>IF(E5&gt;F1,E5-F1,0)</f>
        <v>15120</v>
      </c>
      <c r="G5" s="2">
        <f>IF(E5&gt;F1, F1,E5)</f>
        <v>10800</v>
      </c>
    </row>
    <row r="6" spans="1:7">
      <c r="A6" t="s">
        <v>49</v>
      </c>
      <c r="C6">
        <f>C1*5.5*(1+0.1*C9)</f>
        <v>26400</v>
      </c>
      <c r="E6">
        <f>C6</f>
        <v>26400</v>
      </c>
      <c r="F6">
        <f>F5*2/3*(1+0.1*C11)</f>
        <v>12096</v>
      </c>
      <c r="G6" s="2">
        <f>E6+F6</f>
        <v>38496</v>
      </c>
    </row>
    <row r="8" spans="1:7">
      <c r="B8" t="s">
        <v>67</v>
      </c>
      <c r="C8" t="s">
        <v>68</v>
      </c>
      <c r="E8" s="5" t="s">
        <v>73</v>
      </c>
    </row>
    <row r="9" spans="1:7">
      <c r="A9" t="s">
        <v>59</v>
      </c>
      <c r="B9" s="4">
        <v>6</v>
      </c>
      <c r="C9" s="4">
        <v>2</v>
      </c>
      <c r="E9" s="5" t="s">
        <v>71</v>
      </c>
      <c r="F9" s="2">
        <f>'Rocket Planner'!B103</f>
        <v>10500</v>
      </c>
    </row>
    <row r="10" spans="1:7">
      <c r="A10" t="s">
        <v>78</v>
      </c>
      <c r="B10" s="4">
        <v>5</v>
      </c>
      <c r="C10" s="4">
        <v>2</v>
      </c>
      <c r="E10" s="5" t="s">
        <v>72</v>
      </c>
      <c r="F10" s="2">
        <f>'Rocket Planner'!B105</f>
        <v>32175</v>
      </c>
    </row>
    <row r="11" spans="1:7">
      <c r="A11" t="s">
        <v>79</v>
      </c>
      <c r="B11" s="4">
        <v>5</v>
      </c>
      <c r="C11" s="4">
        <v>2</v>
      </c>
    </row>
    <row r="13" spans="1:7">
      <c r="A13" t="s">
        <v>50</v>
      </c>
      <c r="C13" s="2">
        <f>C1*5/B9/60</f>
        <v>55.555555555555557</v>
      </c>
    </row>
    <row r="14" spans="1:7">
      <c r="A14" t="s">
        <v>51</v>
      </c>
      <c r="C14" s="2">
        <f>C4/4*5/B10/60</f>
        <v>20</v>
      </c>
    </row>
    <row r="15" spans="1:7">
      <c r="A15" t="s">
        <v>52</v>
      </c>
      <c r="C15" s="2">
        <f>F5/3*5/B11/60</f>
        <v>84</v>
      </c>
    </row>
    <row r="17" spans="1:5">
      <c r="B17" t="s">
        <v>76</v>
      </c>
      <c r="C17" t="s">
        <v>77</v>
      </c>
      <c r="D17" t="s">
        <v>53</v>
      </c>
      <c r="E17" t="s">
        <v>54</v>
      </c>
    </row>
    <row r="18" spans="1:5">
      <c r="A18" t="s">
        <v>69</v>
      </c>
      <c r="B18">
        <f>C1*10</f>
        <v>40000</v>
      </c>
      <c r="C18" s="2">
        <f t="shared" ref="C18:C25" si="0">B18/60</f>
        <v>666.66666666666663</v>
      </c>
      <c r="D18">
        <f>C1*5</f>
        <v>20000</v>
      </c>
      <c r="E18" s="2">
        <f>D18/60</f>
        <v>333.33333333333331</v>
      </c>
    </row>
    <row r="19" spans="1:5">
      <c r="A19" t="s">
        <v>66</v>
      </c>
      <c r="B19">
        <f>C4</f>
        <v>4800</v>
      </c>
      <c r="C19" s="2">
        <f t="shared" si="0"/>
        <v>80</v>
      </c>
      <c r="D19">
        <f>C4/4*3</f>
        <v>3600</v>
      </c>
      <c r="E19" s="2">
        <f t="shared" ref="E19:E21" si="1">D19/60</f>
        <v>60</v>
      </c>
    </row>
    <row r="20" spans="1:5">
      <c r="A20" t="s">
        <v>75</v>
      </c>
      <c r="B20">
        <f>D5</f>
        <v>4320</v>
      </c>
      <c r="C20" s="2">
        <f t="shared" si="0"/>
        <v>72</v>
      </c>
    </row>
    <row r="21" spans="1:5">
      <c r="A21" t="s">
        <v>55</v>
      </c>
      <c r="B21">
        <f>F5</f>
        <v>15120</v>
      </c>
      <c r="C21" s="2">
        <f t="shared" si="0"/>
        <v>252</v>
      </c>
      <c r="D21">
        <f>F5</f>
        <v>15120</v>
      </c>
      <c r="E21" s="2">
        <f t="shared" si="1"/>
        <v>252</v>
      </c>
    </row>
    <row r="22" spans="1:5">
      <c r="A22" t="s">
        <v>56</v>
      </c>
      <c r="B22">
        <f>C6</f>
        <v>26400</v>
      </c>
      <c r="C22" s="2">
        <f t="shared" si="0"/>
        <v>440</v>
      </c>
    </row>
    <row r="23" spans="1:5">
      <c r="A23" t="s">
        <v>74</v>
      </c>
      <c r="B23">
        <f>F6</f>
        <v>12096</v>
      </c>
      <c r="C23" s="2">
        <f>B23/60</f>
        <v>201.6</v>
      </c>
    </row>
    <row r="24" spans="1:5">
      <c r="A24" t="s">
        <v>80</v>
      </c>
      <c r="B24">
        <f>G6</f>
        <v>38496</v>
      </c>
      <c r="C24" s="2">
        <f>B24/60</f>
        <v>641.6</v>
      </c>
    </row>
    <row r="25" spans="1:5">
      <c r="A25" t="s">
        <v>65</v>
      </c>
      <c r="B25">
        <f>G5</f>
        <v>10800</v>
      </c>
      <c r="C25" s="2">
        <f t="shared" si="0"/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Rocket Planner</vt:lpstr>
      <vt:lpstr>Refinery Planner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Mark</cp:lastModifiedBy>
  <dcterms:created xsi:type="dcterms:W3CDTF">2016-09-03T16:37:47Z</dcterms:created>
  <dcterms:modified xsi:type="dcterms:W3CDTF">2016-12-27T23:21:14Z</dcterms:modified>
</cp:coreProperties>
</file>