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student\Documents\"/>
    </mc:Choice>
  </mc:AlternateContent>
  <bookViews>
    <workbookView xWindow="0" yWindow="0" windowWidth="9420" windowHeight="8604"/>
  </bookViews>
  <sheets>
    <sheet name="Dashboard" sheetId="3" r:id="rId1"/>
    <sheet name="Rocket Parts" sheetId="7" r:id="rId2"/>
    <sheet name="Intermediate Products" sheetId="8" r:id="rId3"/>
    <sheet name="Modules &amp; Circuits" sheetId="5" r:id="rId4"/>
    <sheet name="Oil" sheetId="10" r:id="rId5"/>
    <sheet name="Mining &amp; Smelting" sheetId="11" r:id="rId6"/>
    <sheet name="DataTables" sheetId="12" r:id="rId7"/>
  </sheets>
  <definedNames>
    <definedName name="solver_adj" localSheetId="4" hidden="1">Oil!$C$24</definedName>
    <definedName name="solver_cvg" localSheetId="4" hidden="1">0.0001</definedName>
    <definedName name="solver_drv" localSheetId="4" hidden="1">1</definedName>
    <definedName name="solver_eng" localSheetId="4" hidden="1">1</definedName>
    <definedName name="solver_est" localSheetId="4" hidden="1">1</definedName>
    <definedName name="solver_itr" localSheetId="4" hidden="1">2147483647</definedName>
    <definedName name="solver_mip" localSheetId="4" hidden="1">2147483647</definedName>
    <definedName name="solver_mni" localSheetId="4" hidden="1">30</definedName>
    <definedName name="solver_mrt" localSheetId="4" hidden="1">0.075</definedName>
    <definedName name="solver_msl" localSheetId="4" hidden="1">2</definedName>
    <definedName name="solver_neg" localSheetId="4" hidden="1">1</definedName>
    <definedName name="solver_nod" localSheetId="4" hidden="1">2147483647</definedName>
    <definedName name="solver_num" localSheetId="4" hidden="1">0</definedName>
    <definedName name="solver_nwt" localSheetId="4" hidden="1">1</definedName>
    <definedName name="solver_opt" localSheetId="4" hidden="1">Oil!$Q$20</definedName>
    <definedName name="solver_pre" localSheetId="4" hidden="1">0.000001</definedName>
    <definedName name="solver_rbv" localSheetId="4" hidden="1">1</definedName>
    <definedName name="solver_rlx" localSheetId="4" hidden="1">2</definedName>
    <definedName name="solver_rsd" localSheetId="4" hidden="1">0</definedName>
    <definedName name="solver_scl" localSheetId="4" hidden="1">1</definedName>
    <definedName name="solver_sho" localSheetId="4" hidden="1">2</definedName>
    <definedName name="solver_ssz" localSheetId="4" hidden="1">100</definedName>
    <definedName name="solver_tim" localSheetId="4" hidden="1">2147483647</definedName>
    <definedName name="solver_tol" localSheetId="4" hidden="1">0.01</definedName>
    <definedName name="solver_typ" localSheetId="4" hidden="1">3</definedName>
    <definedName name="solver_val" localSheetId="4" hidden="1">22.188</definedName>
    <definedName name="solver_ver" localSheetId="4" hidden="1">3</definedName>
  </definedName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I10" i="10" l="1"/>
  <c r="I18" i="12" l="1"/>
  <c r="H18" i="12"/>
  <c r="G18" i="12"/>
  <c r="F18" i="12"/>
  <c r="H12" i="12"/>
  <c r="G12" i="12"/>
  <c r="F12" i="12"/>
  <c r="N6" i="12"/>
  <c r="M6" i="12"/>
  <c r="L6" i="12"/>
  <c r="K6" i="12"/>
  <c r="J6" i="12"/>
  <c r="I6" i="12"/>
  <c r="F9" i="7" s="1"/>
  <c r="D12" i="12"/>
  <c r="C12" i="12"/>
  <c r="C18" i="12"/>
  <c r="D18" i="12"/>
  <c r="G6" i="12"/>
  <c r="F6" i="12"/>
  <c r="E6" i="12"/>
  <c r="M14" i="10" s="1"/>
  <c r="D6" i="12"/>
  <c r="C6" i="12"/>
  <c r="G4" i="3" s="1"/>
  <c r="C6" i="3" s="1"/>
  <c r="J10" i="10"/>
  <c r="G10" i="10"/>
  <c r="G11" i="10" s="1"/>
  <c r="G12" i="10" s="1"/>
  <c r="K10" i="10"/>
  <c r="K11" i="10" s="1"/>
  <c r="K12" i="10" s="1"/>
  <c r="N9" i="11" l="1"/>
  <c r="N7" i="10"/>
  <c r="N3" i="10"/>
  <c r="N4" i="10"/>
  <c r="N8" i="11"/>
  <c r="N9" i="10"/>
  <c r="N6" i="10"/>
  <c r="N14" i="10"/>
  <c r="N15" i="10"/>
  <c r="N5" i="10"/>
  <c r="N3" i="11"/>
  <c r="N5" i="11"/>
  <c r="N4" i="11"/>
  <c r="N5" i="5"/>
  <c r="N5" i="8"/>
  <c r="N5" i="7"/>
  <c r="N6" i="7"/>
  <c r="N8" i="5"/>
  <c r="N4" i="5"/>
  <c r="N4" i="8"/>
  <c r="N4" i="7"/>
  <c r="N6" i="5"/>
  <c r="N7" i="5"/>
  <c r="N3" i="5"/>
  <c r="N3" i="8"/>
  <c r="N3" i="7"/>
  <c r="N6" i="8"/>
  <c r="I4" i="3"/>
  <c r="F11" i="5"/>
  <c r="L5" i="7"/>
  <c r="L4" i="7"/>
  <c r="L6" i="7"/>
  <c r="C19" i="7"/>
  <c r="P5" i="8" s="1"/>
  <c r="M3" i="10"/>
  <c r="M6" i="7"/>
  <c r="L7" i="10"/>
  <c r="M3" i="5"/>
  <c r="L8" i="5"/>
  <c r="M5" i="5"/>
  <c r="G9" i="8"/>
  <c r="M3" i="11"/>
  <c r="H11" i="5"/>
  <c r="F12" i="11"/>
  <c r="L15" i="10"/>
  <c r="G9" i="7"/>
  <c r="L5" i="11"/>
  <c r="M5" i="8"/>
  <c r="L5" i="10"/>
  <c r="L8" i="11"/>
  <c r="L3" i="8"/>
  <c r="L6" i="8"/>
  <c r="M4" i="5"/>
  <c r="L7" i="5"/>
  <c r="L3" i="10"/>
  <c r="M5" i="10"/>
  <c r="M7" i="10"/>
  <c r="M15" i="10"/>
  <c r="L3" i="11"/>
  <c r="L9" i="11"/>
  <c r="H9" i="7"/>
  <c r="H12" i="11"/>
  <c r="H9" i="8"/>
  <c r="L3" i="7"/>
  <c r="M3" i="8"/>
  <c r="M6" i="8"/>
  <c r="M6" i="5"/>
  <c r="M7" i="5"/>
  <c r="L4" i="10"/>
  <c r="L6" i="10"/>
  <c r="L14" i="10"/>
  <c r="M9" i="10"/>
  <c r="L4" i="11"/>
  <c r="F9" i="8"/>
  <c r="G11" i="5"/>
  <c r="G12" i="11"/>
  <c r="M4" i="8"/>
  <c r="L3" i="5"/>
  <c r="L5" i="5"/>
  <c r="M8" i="5"/>
  <c r="M4" i="10"/>
  <c r="M6" i="10"/>
  <c r="L9" i="10"/>
  <c r="L10" i="10"/>
  <c r="M10" i="10"/>
  <c r="L6" i="5"/>
  <c r="L4" i="8"/>
  <c r="L5" i="8"/>
  <c r="L4" i="5"/>
  <c r="M9" i="11"/>
  <c r="M4" i="11"/>
  <c r="M8" i="11"/>
  <c r="C17" i="7"/>
  <c r="P3" i="8" s="1"/>
  <c r="M5" i="11"/>
  <c r="C20" i="7"/>
  <c r="C18" i="7"/>
  <c r="P4" i="8" s="1"/>
  <c r="I11" i="10"/>
  <c r="J11" i="10"/>
  <c r="H4" i="3"/>
  <c r="M3" i="7"/>
  <c r="M4" i="7"/>
  <c r="M5" i="7"/>
  <c r="P3" i="7"/>
  <c r="I12" i="10" l="1"/>
  <c r="L11" i="10"/>
  <c r="J12" i="10"/>
  <c r="M12" i="10" s="1"/>
  <c r="M11" i="10"/>
  <c r="O5" i="8"/>
  <c r="C16" i="8" s="1"/>
  <c r="P6" i="8" s="1"/>
  <c r="O6" i="8" s="1"/>
  <c r="Q6" i="8" s="1"/>
  <c r="O4" i="8"/>
  <c r="Q4" i="8" s="1"/>
  <c r="O3" i="8"/>
  <c r="Q3" i="8" s="1"/>
  <c r="P4" i="7"/>
  <c r="P5" i="7"/>
  <c r="O5" i="7" s="1"/>
  <c r="P6" i="7"/>
  <c r="O6" i="7" s="1"/>
  <c r="O3" i="7"/>
  <c r="O4" i="7" l="1"/>
  <c r="Q4" i="7" s="1"/>
  <c r="C14" i="8"/>
  <c r="C15" i="8"/>
  <c r="L12" i="10"/>
  <c r="C11" i="8"/>
  <c r="P3" i="10" s="1"/>
  <c r="O3" i="10" s="1"/>
  <c r="C5" i="10" s="1"/>
  <c r="G18" i="10"/>
  <c r="D13" i="3" s="1"/>
  <c r="C10" i="8"/>
  <c r="F18" i="10"/>
  <c r="C13" i="3" s="1"/>
  <c r="H18" i="10"/>
  <c r="E13" i="3" s="1"/>
  <c r="Q5" i="8"/>
  <c r="C21" i="8" s="1"/>
  <c r="C19" i="8"/>
  <c r="C7" i="8"/>
  <c r="C5" i="8"/>
  <c r="C6" i="8"/>
  <c r="Q6" i="7"/>
  <c r="C14" i="7"/>
  <c r="P3" i="5" s="1"/>
  <c r="O3" i="5" s="1"/>
  <c r="C13" i="7"/>
  <c r="P4" i="5" s="1"/>
  <c r="O4" i="5" s="1"/>
  <c r="C10" i="7"/>
  <c r="P7" i="10" s="1"/>
  <c r="O7" i="10" s="1"/>
  <c r="Q5" i="7"/>
  <c r="C6" i="7" l="1"/>
  <c r="C7" i="7"/>
  <c r="C5" i="7"/>
  <c r="C22" i="7"/>
  <c r="C6" i="10"/>
  <c r="C7" i="10"/>
  <c r="P4" i="10" s="1"/>
  <c r="O4" i="10" s="1"/>
  <c r="C11" i="10" s="1"/>
  <c r="Q3" i="10"/>
  <c r="H12" i="7"/>
  <c r="G12" i="7"/>
  <c r="F12" i="7"/>
  <c r="H12" i="8"/>
  <c r="G12" i="8"/>
  <c r="F12" i="8"/>
  <c r="C22" i="8"/>
  <c r="P3" i="11"/>
  <c r="O3" i="11" s="1"/>
  <c r="Q3" i="11" s="1"/>
  <c r="C23" i="7"/>
  <c r="Q4" i="5"/>
  <c r="C9" i="5"/>
  <c r="C11" i="5"/>
  <c r="C10" i="5"/>
  <c r="Q3" i="5"/>
  <c r="C6" i="5"/>
  <c r="C5" i="5"/>
  <c r="Q7" i="10"/>
  <c r="C21" i="10"/>
  <c r="C10" i="10" l="1"/>
  <c r="P5" i="10" s="1"/>
  <c r="O5" i="10" s="1"/>
  <c r="C14" i="10" s="1"/>
  <c r="Q4" i="10"/>
  <c r="P5" i="5"/>
  <c r="O5" i="5" s="1"/>
  <c r="Q5" i="10" l="1"/>
  <c r="Q5" i="5"/>
  <c r="C15" i="5"/>
  <c r="P6" i="10" s="1"/>
  <c r="O6" i="10" s="1"/>
  <c r="C16" i="5"/>
  <c r="C14" i="5"/>
  <c r="P7" i="5" s="1"/>
  <c r="P6" i="5"/>
  <c r="O6" i="5" l="1"/>
  <c r="Q6" i="5" s="1"/>
  <c r="H14" i="5" s="1"/>
  <c r="C18" i="10"/>
  <c r="C24" i="10" s="1"/>
  <c r="F18" i="3" s="1"/>
  <c r="F20" i="3" s="1"/>
  <c r="Q6" i="10"/>
  <c r="C17" i="10"/>
  <c r="E18" i="3" s="1"/>
  <c r="E20" i="3" s="1"/>
  <c r="O7" i="5"/>
  <c r="Q7" i="5" l="1"/>
  <c r="P8" i="5"/>
  <c r="O8" i="5" s="1"/>
  <c r="C20" i="5"/>
  <c r="C19" i="5"/>
  <c r="P4" i="11" s="1"/>
  <c r="O9" i="10"/>
  <c r="Q9" i="10" s="1"/>
  <c r="I21" i="10" s="1"/>
  <c r="O11" i="10"/>
  <c r="O12" i="10"/>
  <c r="P12" i="10" s="1"/>
  <c r="O10" i="10"/>
  <c r="O4" i="11" l="1"/>
  <c r="P8" i="11" s="1"/>
  <c r="P5" i="11"/>
  <c r="O5" i="11" s="1"/>
  <c r="P9" i="11" s="1"/>
  <c r="Q8" i="5"/>
  <c r="C22" i="5" s="1"/>
  <c r="Q4" i="11" l="1"/>
  <c r="F14" i="5"/>
  <c r="G14" i="5"/>
  <c r="C23" i="5"/>
  <c r="Q5" i="11"/>
  <c r="F14" i="3" s="1"/>
  <c r="P11" i="10"/>
  <c r="P10" i="10"/>
  <c r="O14" i="10" s="1"/>
  <c r="O9" i="11" l="1"/>
  <c r="C6" i="11" s="1"/>
  <c r="D18" i="3" s="1"/>
  <c r="D20" i="3" s="1"/>
  <c r="I15" i="11"/>
  <c r="F15" i="3" s="1"/>
  <c r="H15" i="11"/>
  <c r="P14" i="10"/>
  <c r="O15" i="10" s="1"/>
  <c r="Q14" i="10"/>
  <c r="Q9" i="11" l="1"/>
  <c r="P15" i="10"/>
  <c r="Q15" i="10"/>
  <c r="C26" i="10" s="1"/>
  <c r="F21" i="10" l="1"/>
  <c r="G21" i="10"/>
  <c r="H21" i="10"/>
  <c r="E14" i="3" s="1"/>
  <c r="E15" i="3" s="1"/>
  <c r="C27" i="10"/>
  <c r="O8" i="11"/>
  <c r="C4" i="11" l="1"/>
  <c r="C18" i="3" s="1"/>
  <c r="C20" i="3" s="1"/>
  <c r="Q8" i="11"/>
  <c r="C9" i="11" s="1"/>
  <c r="I17" i="3" s="1"/>
  <c r="I20" i="3" l="1"/>
  <c r="I21" i="3" s="1"/>
  <c r="F15" i="11"/>
  <c r="C14" i="3" s="1"/>
  <c r="C15" i="3" s="1"/>
  <c r="G15" i="11"/>
  <c r="D14" i="3" s="1"/>
  <c r="D15" i="3" s="1"/>
  <c r="C8" i="11"/>
  <c r="I12" i="3" s="1"/>
  <c r="I14" i="3" l="1"/>
  <c r="I15" i="3" s="1"/>
</calcChain>
</file>

<file path=xl/sharedStrings.xml><?xml version="1.0" encoding="utf-8"?>
<sst xmlns="http://schemas.openxmlformats.org/spreadsheetml/2006/main" count="369" uniqueCount="109">
  <si>
    <t>Heavy Cracking</t>
  </si>
  <si>
    <t>Light Cracking</t>
  </si>
  <si>
    <t>Plastic</t>
  </si>
  <si>
    <t>Sulfur</t>
  </si>
  <si>
    <t>Heavy</t>
  </si>
  <si>
    <t>Light</t>
  </si>
  <si>
    <t>Petrol</t>
  </si>
  <si>
    <t>Speed</t>
  </si>
  <si>
    <t>Production</t>
  </si>
  <si>
    <t>Process</t>
  </si>
  <si>
    <t>Inputs</t>
  </si>
  <si>
    <t># Speed</t>
  </si>
  <si>
    <t>Module Level</t>
  </si>
  <si>
    <t>Your Module Level</t>
  </si>
  <si>
    <t># Productivity</t>
  </si>
  <si>
    <t>If it's green you can change it!</t>
  </si>
  <si>
    <t>Iron</t>
  </si>
  <si>
    <t>Copper</t>
  </si>
  <si>
    <t>Steel</t>
  </si>
  <si>
    <t># Efficency</t>
  </si>
  <si>
    <t>Energy</t>
  </si>
  <si>
    <t>Iron Mining</t>
  </si>
  <si>
    <t>Copper Mining</t>
  </si>
  <si>
    <t>Efficency</t>
  </si>
  <si>
    <t>Satellite</t>
  </si>
  <si>
    <t>Low Density Structure</t>
  </si>
  <si>
    <t>Rocket Fuel</t>
  </si>
  <si>
    <t>Control Unit</t>
  </si>
  <si>
    <t>Number of Rocket Silos</t>
  </si>
  <si>
    <t>One Rocket Launch every:</t>
  </si>
  <si>
    <t>seconds</t>
  </si>
  <si>
    <t>Assembly Machine Level</t>
  </si>
  <si>
    <t>Assembly Machine</t>
  </si>
  <si>
    <t>Default</t>
  </si>
  <si>
    <t>Solar Panels</t>
  </si>
  <si>
    <t>Accumulators</t>
  </si>
  <si>
    <t>Radar</t>
  </si>
  <si>
    <t>Blue Circuits</t>
  </si>
  <si>
    <t>Solid Fuel</t>
  </si>
  <si>
    <t>Rocket Control Unit</t>
  </si>
  <si>
    <t>Blue Circuit</t>
  </si>
  <si>
    <t>Speed Module 1</t>
  </si>
  <si>
    <t>Input Need /s</t>
  </si>
  <si>
    <t>Output Need /s</t>
  </si>
  <si>
    <t>Assembly Machines</t>
  </si>
  <si>
    <t>Accumulator</t>
  </si>
  <si>
    <t>Green Circuit</t>
  </si>
  <si>
    <t>Iron Plate</t>
  </si>
  <si>
    <t>Battery</t>
  </si>
  <si>
    <t>Gear</t>
  </si>
  <si>
    <t>Iron Gear Wheel</t>
  </si>
  <si>
    <t>Copper Plate</t>
  </si>
  <si>
    <t>Red Circuit</t>
  </si>
  <si>
    <t>Sulfuric Acid</t>
  </si>
  <si>
    <t>Copper Cable</t>
  </si>
  <si>
    <t>Copper cable</t>
  </si>
  <si>
    <t>*Copper Cable should be here, but I choose to make on site, so I seperated it into Green and Red sections on the Modules &amp; Circuits tab</t>
  </si>
  <si>
    <t>Coal</t>
  </si>
  <si>
    <t>Light Oil</t>
  </si>
  <si>
    <t>Crude Oil</t>
  </si>
  <si>
    <t>Refining</t>
  </si>
  <si>
    <t>Crude</t>
  </si>
  <si>
    <t>Iron Smelting</t>
  </si>
  <si>
    <t>Furnace Level</t>
  </si>
  <si>
    <t>Stone</t>
  </si>
  <si>
    <t>Electric</t>
  </si>
  <si>
    <t>Copper Smelting</t>
  </si>
  <si>
    <t>Steel Smelting</t>
  </si>
  <si>
    <t>Furnaces</t>
  </si>
  <si>
    <t>Iron Ore</t>
  </si>
  <si>
    <t>Copper Ore</t>
  </si>
  <si>
    <t>Raw Resources to Build</t>
  </si>
  <si>
    <t>Modules</t>
  </si>
  <si>
    <t>Energy Total</t>
  </si>
  <si>
    <t>With Efficency Beacons</t>
  </si>
  <si>
    <t>Electric Mining Drills</t>
  </si>
  <si>
    <t>Chemical Plants</t>
  </si>
  <si>
    <t>iron</t>
  </si>
  <si>
    <t>copper</t>
  </si>
  <si>
    <t>plastic</t>
  </si>
  <si>
    <t>Other</t>
  </si>
  <si>
    <t>Cost</t>
  </si>
  <si>
    <t>Module</t>
  </si>
  <si>
    <t>Assembely</t>
  </si>
  <si>
    <t>Silo, Assembly, Chem, etc.</t>
  </si>
  <si>
    <t>Total</t>
  </si>
  <si>
    <t>Panels</t>
  </si>
  <si>
    <t xml:space="preserve">Raw Resources </t>
  </si>
  <si>
    <t>All modules, assembly machines, and furnaces will default to what you select here. However, you can change each type on the specific section if you want to by going to the proper tab.</t>
  </si>
  <si>
    <t>Inputs (s)</t>
  </si>
  <si>
    <t>Item</t>
  </si>
  <si>
    <t>Items*</t>
  </si>
  <si>
    <t>Items</t>
  </si>
  <si>
    <t>Costs</t>
  </si>
  <si>
    <t>Assembly Machines*</t>
  </si>
  <si>
    <t>*Only highlighted to be easier to pick out, not as editable!</t>
  </si>
  <si>
    <t>Satellite**</t>
  </si>
  <si>
    <t>**Rocket fuel and low denisty structures used for satellites are included in the above section.</t>
  </si>
  <si>
    <t>Click Me!</t>
  </si>
  <si>
    <t>Example</t>
  </si>
  <si>
    <t>Module Tips!</t>
  </si>
  <si>
    <t>Beacon &amp; Energy Tips!</t>
  </si>
  <si>
    <t>Beacons</t>
  </si>
  <si>
    <t>After</t>
  </si>
  <si>
    <t>to Maintain (s)</t>
  </si>
  <si>
    <t>Total Energy</t>
  </si>
  <si>
    <t>Needed</t>
  </si>
  <si>
    <t>Level</t>
  </si>
  <si>
    <t>Resources per Rocket</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</si>
</sst>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43" formatCode="_(* #,##0.00_);_(* \(#,##0.00\);_(* &quot;-&quot;??_);_(@_)"/>
    <numFmt numFmtId="164" formatCode="0.000"/>
    <numFmt numFmtId="165" formatCode="0.0000"/>
    <numFmt numFmtId="166" formatCode="_(* #,##0_);_(* \(#,##0\);_(* &quot;-&quot;??_);_(@_)"/>
  </numFmts>
  <fonts count="6" x14ac:knownFonts="1">
    <font>
      <sz val="11"/>
      <color theme="1"/>
      <name val="Calibri"/>
      <family val="2"/>
      <scheme val="minor"/>
    </font>
    <font>
      <b/>
      <sz val="11"/>
      <color theme="1"/>
      <name val="Calibri"/>
      <family val="2"/>
      <scheme val="minor"/>
    </font>
    <font>
      <sz val="11"/>
      <color theme="1"/>
      <name val="Calibri"/>
      <family val="2"/>
      <scheme val="minor"/>
    </font>
    <font>
      <b/>
      <sz val="11"/>
      <color theme="7"/>
      <name val="Calibri"/>
      <family val="2"/>
      <scheme val="minor"/>
    </font>
    <font>
      <b/>
      <sz val="11"/>
      <color theme="5"/>
      <name val="Calibri"/>
      <family val="2"/>
      <scheme val="minor"/>
    </font>
    <font>
      <b/>
      <sz val="11"/>
      <color rgb="FFC00000"/>
      <name val="Calibri"/>
      <family val="2"/>
      <scheme val="minor"/>
    </font>
  </fonts>
  <fills count="7">
    <fill>
      <patternFill patternType="none"/>
    </fill>
    <fill>
      <patternFill patternType="gray125"/>
    </fill>
    <fill>
      <patternFill patternType="solid">
        <fgColor theme="0"/>
        <bgColor indexed="64"/>
      </patternFill>
    </fill>
    <fill>
      <patternFill patternType="solid">
        <fgColor theme="0" tint="-4.9989318521683403E-2"/>
        <bgColor indexed="64"/>
      </patternFill>
    </fill>
    <fill>
      <patternFill patternType="solid">
        <fgColor theme="9" tint="0.59999389629810485"/>
        <bgColor indexed="64"/>
      </patternFill>
    </fill>
    <fill>
      <patternFill patternType="solid">
        <fgColor theme="0" tint="-0.14999847407452621"/>
        <bgColor indexed="64"/>
      </patternFill>
    </fill>
    <fill>
      <patternFill patternType="solid">
        <fgColor theme="8" tint="0.79998168889431442"/>
        <bgColor indexed="64"/>
      </patternFill>
    </fill>
  </fills>
  <borders count="49">
    <border>
      <left/>
      <right/>
      <top/>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right/>
      <top style="medium">
        <color indexed="64"/>
      </top>
      <bottom/>
      <diagonal/>
    </border>
    <border>
      <left/>
      <right/>
      <top/>
      <bottom style="medium">
        <color indexed="64"/>
      </bottom>
      <diagonal/>
    </border>
    <border>
      <left style="medium">
        <color indexed="64"/>
      </left>
      <right/>
      <top style="medium">
        <color indexed="64"/>
      </top>
      <bottom style="medium">
        <color indexed="64"/>
      </bottom>
      <diagonal/>
    </border>
    <border>
      <left style="thin">
        <color indexed="64"/>
      </left>
      <right/>
      <top style="medium">
        <color indexed="64"/>
      </top>
      <bottom style="medium">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style="thin">
        <color indexed="64"/>
      </right>
      <top/>
      <bottom style="medium">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style="medium">
        <color indexed="64"/>
      </top>
      <bottom/>
      <diagonal/>
    </border>
    <border>
      <left/>
      <right style="medium">
        <color indexed="64"/>
      </right>
      <top style="medium">
        <color indexed="64"/>
      </top>
      <bottom style="medium">
        <color indexed="64"/>
      </bottom>
      <diagonal/>
    </border>
    <border>
      <left/>
      <right style="medium">
        <color indexed="64"/>
      </right>
      <top style="medium">
        <color indexed="64"/>
      </top>
      <bottom style="thin">
        <color indexed="64"/>
      </bottom>
      <diagonal/>
    </border>
    <border>
      <left/>
      <right/>
      <top style="medium">
        <color indexed="64"/>
      </top>
      <bottom style="medium">
        <color indexed="64"/>
      </bottom>
      <diagonal/>
    </border>
    <border>
      <left style="medium">
        <color indexed="64"/>
      </left>
      <right style="thin">
        <color indexed="64"/>
      </right>
      <top/>
      <bottom style="thin">
        <color indexed="64"/>
      </bottom>
      <diagonal/>
    </border>
    <border>
      <left/>
      <right/>
      <top style="medium">
        <color indexed="64"/>
      </top>
      <bottom style="thin">
        <color indexed="64"/>
      </bottom>
      <diagonal/>
    </border>
    <border>
      <left/>
      <right/>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style="medium">
        <color indexed="64"/>
      </top>
      <bottom style="thin">
        <color indexed="64"/>
      </bottom>
      <diagonal/>
    </border>
    <border>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bottom/>
      <diagonal/>
    </border>
    <border>
      <left style="thin">
        <color indexed="64"/>
      </left>
      <right style="medium">
        <color indexed="64"/>
      </right>
      <top style="medium">
        <color indexed="64"/>
      </top>
      <bottom/>
      <diagonal/>
    </border>
    <border>
      <left style="medium">
        <color indexed="64"/>
      </left>
      <right/>
      <top/>
      <bottom style="thin">
        <color indexed="64"/>
      </bottom>
      <diagonal/>
    </border>
    <border>
      <left style="thin">
        <color indexed="64"/>
      </left>
      <right/>
      <top style="medium">
        <color indexed="64"/>
      </top>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right style="thin">
        <color indexed="64"/>
      </right>
      <top style="medium">
        <color indexed="64"/>
      </top>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thin">
        <color indexed="64"/>
      </top>
      <bottom/>
      <diagonal/>
    </border>
    <border>
      <left style="medium">
        <color indexed="64"/>
      </left>
      <right style="thin">
        <color indexed="64"/>
      </right>
      <top/>
      <bottom/>
      <diagonal/>
    </border>
    <border>
      <left style="thin">
        <color indexed="64"/>
      </left>
      <right style="medium">
        <color indexed="64"/>
      </right>
      <top/>
      <bottom style="thin">
        <color indexed="64"/>
      </bottom>
      <diagonal/>
    </border>
  </borders>
  <cellStyleXfs count="2">
    <xf numFmtId="0" fontId="0" fillId="0" borderId="0"/>
    <xf numFmtId="43" fontId="2" fillId="0" borderId="0" applyFont="0" applyFill="0" applyBorder="0" applyAlignment="0" applyProtection="0"/>
  </cellStyleXfs>
  <cellXfs count="222">
    <xf numFmtId="0" fontId="0" fillId="0" borderId="0" xfId="0"/>
    <xf numFmtId="0" fontId="0" fillId="2" borderId="17" xfId="0" applyFill="1" applyBorder="1"/>
    <xf numFmtId="0" fontId="0" fillId="2" borderId="13" xfId="0" applyFill="1" applyBorder="1"/>
    <xf numFmtId="0" fontId="0" fillId="2" borderId="14" xfId="0" applyFill="1" applyBorder="1" applyAlignment="1">
      <alignment horizontal="center"/>
    </xf>
    <xf numFmtId="164" fontId="0" fillId="2" borderId="0" xfId="0" applyNumberFormat="1" applyFill="1" applyBorder="1" applyAlignment="1">
      <alignment horizontal="center"/>
    </xf>
    <xf numFmtId="2" fontId="0" fillId="2" borderId="8" xfId="0" applyNumberFormat="1" applyFill="1" applyBorder="1" applyAlignment="1">
      <alignment horizontal="center"/>
    </xf>
    <xf numFmtId="2" fontId="0" fillId="2" borderId="6" xfId="0" applyNumberFormat="1" applyFill="1" applyBorder="1" applyAlignment="1">
      <alignment horizontal="center"/>
    </xf>
    <xf numFmtId="0" fontId="0" fillId="2" borderId="11" xfId="0" applyFill="1" applyBorder="1" applyAlignment="1">
      <alignment horizontal="center"/>
    </xf>
    <xf numFmtId="0" fontId="1" fillId="2" borderId="9" xfId="0" applyFont="1" applyFill="1" applyBorder="1" applyAlignment="1">
      <alignment horizontal="center" vertical="center"/>
    </xf>
    <xf numFmtId="0" fontId="0" fillId="2" borderId="8" xfId="0" applyFill="1" applyBorder="1" applyAlignment="1">
      <alignment horizontal="center"/>
    </xf>
    <xf numFmtId="0" fontId="0" fillId="3" borderId="0" xfId="0" applyFill="1"/>
    <xf numFmtId="0" fontId="0" fillId="2" borderId="17" xfId="0" applyFill="1" applyBorder="1" applyAlignment="1">
      <alignment horizontal="center"/>
    </xf>
    <xf numFmtId="0" fontId="0" fillId="2" borderId="13" xfId="0" applyFill="1" applyBorder="1" applyAlignment="1">
      <alignment horizontal="center"/>
    </xf>
    <xf numFmtId="0" fontId="0" fillId="2" borderId="24" xfId="0" applyFill="1" applyBorder="1" applyAlignment="1"/>
    <xf numFmtId="0" fontId="0" fillId="2" borderId="21" xfId="0" applyFill="1" applyBorder="1" applyAlignment="1"/>
    <xf numFmtId="0" fontId="0" fillId="2" borderId="22" xfId="0" applyFill="1" applyBorder="1" applyAlignment="1">
      <alignment horizontal="center"/>
    </xf>
    <xf numFmtId="0" fontId="0" fillId="2" borderId="19" xfId="0" applyFill="1" applyBorder="1" applyAlignment="1">
      <alignment horizontal="center"/>
    </xf>
    <xf numFmtId="0" fontId="0" fillId="2" borderId="9" xfId="0" applyFill="1" applyBorder="1" applyAlignment="1">
      <alignment horizontal="center"/>
    </xf>
    <xf numFmtId="0" fontId="0" fillId="2" borderId="18" xfId="0" applyFill="1" applyBorder="1"/>
    <xf numFmtId="0" fontId="0" fillId="2" borderId="27" xfId="0" applyFill="1" applyBorder="1"/>
    <xf numFmtId="0" fontId="0" fillId="4" borderId="9" xfId="0" applyFill="1" applyBorder="1" applyAlignment="1">
      <alignment horizontal="centerContinuous"/>
    </xf>
    <xf numFmtId="0" fontId="0" fillId="4" borderId="20" xfId="0" applyFill="1" applyBorder="1" applyAlignment="1">
      <alignment horizontal="centerContinuous"/>
    </xf>
    <xf numFmtId="0" fontId="0" fillId="4" borderId="18" xfId="0" applyFill="1" applyBorder="1" applyAlignment="1">
      <alignment horizontal="centerContinuous"/>
    </xf>
    <xf numFmtId="1" fontId="0" fillId="2" borderId="6" xfId="0" applyNumberFormat="1" applyFill="1" applyBorder="1" applyAlignment="1">
      <alignment horizontal="center"/>
    </xf>
    <xf numFmtId="0" fontId="0" fillId="3" borderId="0" xfId="0" applyFill="1" applyAlignment="1">
      <alignment horizontal="center"/>
    </xf>
    <xf numFmtId="0" fontId="0" fillId="3" borderId="0" xfId="0" applyFill="1" applyAlignment="1">
      <alignment wrapText="1"/>
    </xf>
    <xf numFmtId="164" fontId="0" fillId="3" borderId="0" xfId="0" applyNumberFormat="1" applyFill="1" applyBorder="1" applyAlignment="1">
      <alignment horizontal="center"/>
    </xf>
    <xf numFmtId="164" fontId="0" fillId="3" borderId="0" xfId="0" applyNumberFormat="1" applyFill="1"/>
    <xf numFmtId="165" fontId="0" fillId="3" borderId="0" xfId="0" applyNumberFormat="1" applyFill="1"/>
    <xf numFmtId="166" fontId="0" fillId="3" borderId="0" xfId="1" applyNumberFormat="1" applyFont="1" applyFill="1"/>
    <xf numFmtId="0" fontId="0" fillId="3" borderId="0" xfId="0" applyFill="1" applyAlignment="1">
      <alignment horizontal="left" indent="3"/>
    </xf>
    <xf numFmtId="0" fontId="0" fillId="3" borderId="0" xfId="0" applyFill="1" applyAlignment="1">
      <alignment horizontal="left"/>
    </xf>
    <xf numFmtId="0" fontId="1" fillId="2" borderId="11" xfId="0" applyFont="1" applyFill="1" applyBorder="1" applyAlignment="1">
      <alignment horizontal="center" vertical="center" wrapText="1"/>
    </xf>
    <xf numFmtId="0" fontId="1" fillId="2" borderId="11" xfId="0" applyFont="1" applyFill="1" applyBorder="1" applyAlignment="1">
      <alignment horizontal="center" vertical="center"/>
    </xf>
    <xf numFmtId="0" fontId="1" fillId="2" borderId="22" xfId="0" applyFont="1" applyFill="1" applyBorder="1" applyAlignment="1">
      <alignment horizontal="center" vertical="center"/>
    </xf>
    <xf numFmtId="0" fontId="1" fillId="2" borderId="12" xfId="0" applyFont="1" applyFill="1" applyBorder="1" applyAlignment="1">
      <alignment horizontal="center" vertical="center"/>
    </xf>
    <xf numFmtId="0" fontId="1" fillId="2" borderId="19" xfId="0" applyFont="1" applyFill="1" applyBorder="1" applyAlignment="1">
      <alignment horizontal="center" vertical="center"/>
    </xf>
    <xf numFmtId="0" fontId="1" fillId="2" borderId="25" xfId="0" applyFont="1" applyFill="1" applyBorder="1" applyAlignment="1">
      <alignment horizontal="center" vertical="center" wrapText="1"/>
    </xf>
    <xf numFmtId="0" fontId="1" fillId="2" borderId="11" xfId="0" applyFont="1" applyFill="1" applyBorder="1" applyAlignment="1">
      <alignment horizontal="center"/>
    </xf>
    <xf numFmtId="0" fontId="1" fillId="2" borderId="22" xfId="0" applyFont="1" applyFill="1" applyBorder="1" applyAlignment="1">
      <alignment horizontal="center"/>
    </xf>
    <xf numFmtId="0" fontId="1" fillId="2" borderId="19" xfId="0" applyFont="1" applyFill="1" applyBorder="1" applyAlignment="1">
      <alignment horizontal="center"/>
    </xf>
    <xf numFmtId="0" fontId="1" fillId="2" borderId="17" xfId="0" applyFont="1" applyFill="1" applyBorder="1" applyAlignment="1">
      <alignment horizontal="center"/>
    </xf>
    <xf numFmtId="0" fontId="1" fillId="2" borderId="13" xfId="0" applyFont="1" applyFill="1" applyBorder="1" applyAlignment="1">
      <alignment horizontal="center"/>
    </xf>
    <xf numFmtId="164" fontId="0" fillId="2" borderId="29" xfId="0" applyNumberFormat="1" applyFill="1" applyBorder="1" applyAlignment="1">
      <alignment horizontal="center"/>
    </xf>
    <xf numFmtId="1" fontId="0" fillId="2" borderId="30" xfId="0" applyNumberFormat="1" applyFill="1" applyBorder="1" applyAlignment="1">
      <alignment horizontal="center"/>
    </xf>
    <xf numFmtId="0" fontId="0" fillId="2" borderId="33" xfId="0" applyFill="1" applyBorder="1"/>
    <xf numFmtId="0" fontId="1" fillId="2" borderId="33" xfId="0" applyFont="1" applyFill="1" applyBorder="1" applyAlignment="1">
      <alignment horizontal="center" vertical="center"/>
    </xf>
    <xf numFmtId="164" fontId="0" fillId="2" borderId="4" xfId="0" applyNumberFormat="1" applyFill="1" applyBorder="1" applyAlignment="1">
      <alignment horizontal="center"/>
    </xf>
    <xf numFmtId="164" fontId="0" fillId="2" borderId="6" xfId="0" applyNumberFormat="1" applyFill="1" applyBorder="1" applyAlignment="1">
      <alignment horizontal="center"/>
    </xf>
    <xf numFmtId="2" fontId="0" fillId="2" borderId="4" xfId="0" applyNumberFormat="1" applyFill="1" applyBorder="1" applyAlignment="1">
      <alignment horizontal="center"/>
    </xf>
    <xf numFmtId="0" fontId="0" fillId="2" borderId="5" xfId="0" applyFill="1" applyBorder="1"/>
    <xf numFmtId="3" fontId="0" fillId="2" borderId="0" xfId="1" applyNumberFormat="1" applyFont="1" applyFill="1" applyBorder="1" applyAlignment="1">
      <alignment horizontal="center"/>
    </xf>
    <xf numFmtId="3" fontId="0" fillId="3" borderId="0" xfId="1" applyNumberFormat="1" applyFont="1" applyFill="1" applyBorder="1" applyAlignment="1">
      <alignment horizontal="center"/>
    </xf>
    <xf numFmtId="3" fontId="0" fillId="2" borderId="4" xfId="1" applyNumberFormat="1" applyFont="1" applyFill="1" applyBorder="1" applyAlignment="1">
      <alignment horizontal="center"/>
    </xf>
    <xf numFmtId="0" fontId="0" fillId="2" borderId="5" xfId="0" applyFill="1" applyBorder="1" applyAlignment="1"/>
    <xf numFmtId="3" fontId="0" fillId="2" borderId="40" xfId="1" applyNumberFormat="1" applyFont="1" applyFill="1" applyBorder="1" applyAlignment="1">
      <alignment horizontal="center"/>
    </xf>
    <xf numFmtId="3" fontId="0" fillId="2" borderId="41" xfId="1" applyNumberFormat="1" applyFont="1" applyFill="1" applyBorder="1" applyAlignment="1">
      <alignment horizontal="center"/>
    </xf>
    <xf numFmtId="3" fontId="0" fillId="2" borderId="42" xfId="1" applyNumberFormat="1" applyFont="1" applyFill="1" applyBorder="1" applyAlignment="1">
      <alignment horizontal="center"/>
    </xf>
    <xf numFmtId="3" fontId="0" fillId="2" borderId="6" xfId="1" applyNumberFormat="1" applyFont="1" applyFill="1" applyBorder="1" applyAlignment="1">
      <alignment horizontal="center"/>
    </xf>
    <xf numFmtId="3" fontId="0" fillId="2" borderId="34" xfId="1" applyNumberFormat="1" applyFont="1" applyFill="1" applyBorder="1" applyAlignment="1">
      <alignment horizontal="center"/>
    </xf>
    <xf numFmtId="3" fontId="0" fillId="2" borderId="16" xfId="1" applyNumberFormat="1" applyFont="1" applyFill="1" applyBorder="1" applyAlignment="1">
      <alignment horizontal="center"/>
    </xf>
    <xf numFmtId="0" fontId="0" fillId="2" borderId="2" xfId="0" applyFill="1" applyBorder="1" applyAlignment="1">
      <alignment horizontal="center"/>
    </xf>
    <xf numFmtId="2" fontId="0" fillId="2" borderId="2" xfId="0" applyNumberFormat="1" applyFill="1" applyBorder="1" applyAlignment="1">
      <alignment horizontal="center"/>
    </xf>
    <xf numFmtId="0" fontId="1" fillId="2" borderId="33" xfId="0" applyFont="1" applyFill="1" applyBorder="1" applyAlignment="1">
      <alignment horizontal="center" vertical="center" wrapText="1"/>
    </xf>
    <xf numFmtId="0" fontId="1" fillId="2" borderId="12" xfId="0" applyFont="1" applyFill="1" applyBorder="1" applyAlignment="1">
      <alignment horizontal="center" vertical="center" wrapText="1"/>
    </xf>
    <xf numFmtId="0" fontId="1" fillId="2" borderId="22" xfId="0" applyFont="1" applyFill="1" applyBorder="1" applyAlignment="1">
      <alignment horizontal="center" vertical="center" wrapText="1"/>
    </xf>
    <xf numFmtId="0" fontId="1" fillId="2" borderId="19" xfId="0" applyFont="1" applyFill="1" applyBorder="1" applyAlignment="1">
      <alignment horizontal="center" vertical="center" wrapText="1"/>
    </xf>
    <xf numFmtId="164" fontId="0" fillId="2" borderId="14" xfId="0" applyNumberFormat="1" applyFill="1" applyBorder="1" applyAlignment="1">
      <alignment horizontal="center"/>
    </xf>
    <xf numFmtId="164" fontId="0" fillId="2" borderId="8" xfId="0" applyNumberFormat="1" applyFill="1" applyBorder="1" applyAlignment="1">
      <alignment horizontal="center"/>
    </xf>
    <xf numFmtId="1" fontId="0" fillId="2" borderId="15" xfId="0" applyNumberFormat="1" applyFill="1" applyBorder="1" applyAlignment="1">
      <alignment horizontal="center"/>
    </xf>
    <xf numFmtId="2" fontId="0" fillId="2" borderId="0" xfId="0" applyNumberFormat="1" applyFill="1" applyBorder="1" applyAlignment="1">
      <alignment horizontal="center"/>
    </xf>
    <xf numFmtId="0" fontId="1" fillId="3" borderId="0" xfId="0" applyFont="1" applyFill="1" applyBorder="1" applyAlignment="1">
      <alignment horizontal="center" vertical="center"/>
    </xf>
    <xf numFmtId="0" fontId="0" fillId="3" borderId="0" xfId="0" applyFill="1" applyBorder="1" applyAlignment="1">
      <alignment horizontal="center"/>
    </xf>
    <xf numFmtId="2" fontId="0" fillId="3" borderId="0" xfId="0" applyNumberFormat="1" applyFill="1" applyBorder="1" applyAlignment="1">
      <alignment horizontal="center"/>
    </xf>
    <xf numFmtId="0" fontId="1" fillId="2" borderId="33" xfId="0" applyFont="1" applyFill="1" applyBorder="1" applyAlignment="1">
      <alignment horizontal="centerContinuous" vertical="center" wrapText="1"/>
    </xf>
    <xf numFmtId="0" fontId="0" fillId="2" borderId="3" xfId="0" applyFill="1" applyBorder="1" applyAlignment="1">
      <alignment horizontal="centerContinuous"/>
    </xf>
    <xf numFmtId="0" fontId="0" fillId="2" borderId="5" xfId="0" applyFill="1" applyBorder="1" applyAlignment="1">
      <alignment horizontal="centerContinuous"/>
    </xf>
    <xf numFmtId="0" fontId="0" fillId="2" borderId="0" xfId="0" applyFill="1" applyBorder="1" applyAlignment="1">
      <alignment horizontal="centerContinuous"/>
    </xf>
    <xf numFmtId="0" fontId="0" fillId="2" borderId="30" xfId="0" applyFill="1" applyBorder="1" applyAlignment="1">
      <alignment horizontal="centerContinuous"/>
    </xf>
    <xf numFmtId="0" fontId="0" fillId="2" borderId="15" xfId="0" applyFill="1" applyBorder="1" applyAlignment="1">
      <alignment horizontal="centerContinuous"/>
    </xf>
    <xf numFmtId="0" fontId="0" fillId="2" borderId="12" xfId="0" applyFill="1" applyBorder="1" applyAlignment="1">
      <alignment horizontal="centerContinuous"/>
    </xf>
    <xf numFmtId="0" fontId="0" fillId="2" borderId="13" xfId="0" applyFont="1" applyFill="1" applyBorder="1" applyAlignment="1">
      <alignment horizontal="center"/>
    </xf>
    <xf numFmtId="37" fontId="0" fillId="2" borderId="8" xfId="1" applyNumberFormat="1" applyFont="1" applyFill="1" applyBorder="1" applyAlignment="1">
      <alignment horizontal="center"/>
    </xf>
    <xf numFmtId="3" fontId="0" fillId="2" borderId="8" xfId="1" applyNumberFormat="1" applyFont="1" applyFill="1" applyBorder="1" applyAlignment="1">
      <alignment horizontal="center"/>
    </xf>
    <xf numFmtId="0" fontId="1" fillId="3" borderId="0" xfId="0" applyFont="1" applyFill="1" applyBorder="1" applyAlignment="1">
      <alignment horizontal="center" vertical="center" wrapText="1"/>
    </xf>
    <xf numFmtId="37" fontId="0" fillId="2" borderId="6" xfId="1" applyNumberFormat="1" applyFont="1" applyFill="1" applyBorder="1" applyAlignment="1">
      <alignment horizontal="center"/>
    </xf>
    <xf numFmtId="0" fontId="0" fillId="2" borderId="25" xfId="0" applyFill="1" applyBorder="1"/>
    <xf numFmtId="0" fontId="0" fillId="2" borderId="44" xfId="0" applyFill="1" applyBorder="1"/>
    <xf numFmtId="0" fontId="1" fillId="2" borderId="34" xfId="0" applyFont="1" applyFill="1" applyBorder="1" applyAlignment="1">
      <alignment horizontal="center" vertical="center" wrapText="1"/>
    </xf>
    <xf numFmtId="0" fontId="0" fillId="2" borderId="3" xfId="0" applyFill="1" applyBorder="1" applyAlignment="1">
      <alignment horizontal="left" indent="3"/>
    </xf>
    <xf numFmtId="0" fontId="0" fillId="2" borderId="5" xfId="0" applyFill="1" applyBorder="1" applyAlignment="1">
      <alignment horizontal="left" indent="3"/>
    </xf>
    <xf numFmtId="37" fontId="0" fillId="2" borderId="34" xfId="1" applyNumberFormat="1" applyFont="1" applyFill="1" applyBorder="1" applyAlignment="1">
      <alignment horizontal="center"/>
    </xf>
    <xf numFmtId="37" fontId="0" fillId="2" borderId="45" xfId="1" applyNumberFormat="1" applyFont="1" applyFill="1" applyBorder="1" applyAlignment="1">
      <alignment horizontal="center"/>
    </xf>
    <xf numFmtId="2" fontId="0" fillId="2" borderId="29" xfId="0" applyNumberFormat="1" applyFill="1" applyBorder="1" applyAlignment="1">
      <alignment horizontal="center"/>
    </xf>
    <xf numFmtId="2" fontId="0" fillId="2" borderId="30" xfId="0" applyNumberFormat="1" applyFill="1" applyBorder="1" applyAlignment="1">
      <alignment horizontal="center"/>
    </xf>
    <xf numFmtId="2" fontId="0" fillId="2" borderId="14" xfId="0" applyNumberFormat="1" applyFill="1" applyBorder="1" applyAlignment="1">
      <alignment horizontal="center"/>
    </xf>
    <xf numFmtId="2" fontId="0" fillId="2" borderId="15" xfId="0" applyNumberFormat="1" applyFill="1" applyBorder="1" applyAlignment="1">
      <alignment horizontal="center"/>
    </xf>
    <xf numFmtId="0" fontId="0" fillId="2" borderId="1" xfId="0" applyFill="1" applyBorder="1" applyAlignment="1">
      <alignment horizontal="left" indent="1"/>
    </xf>
    <xf numFmtId="0" fontId="0" fillId="2" borderId="2" xfId="0" applyFill="1" applyBorder="1"/>
    <xf numFmtId="0" fontId="1" fillId="2" borderId="35" xfId="0" applyFont="1" applyFill="1" applyBorder="1" applyAlignment="1">
      <alignment horizontal="center" vertical="center"/>
    </xf>
    <xf numFmtId="0" fontId="1" fillId="2" borderId="35" xfId="0" applyFont="1" applyFill="1" applyBorder="1" applyAlignment="1">
      <alignment horizontal="centerContinuous" vertical="center"/>
    </xf>
    <xf numFmtId="2" fontId="0" fillId="3" borderId="0" xfId="0" applyNumberFormat="1" applyFill="1" applyAlignment="1">
      <alignment horizontal="center"/>
    </xf>
    <xf numFmtId="2" fontId="0" fillId="2" borderId="4" xfId="0" applyNumberFormat="1" applyFill="1" applyBorder="1" applyAlignment="1">
      <alignment horizontal="center" vertical="center"/>
    </xf>
    <xf numFmtId="2" fontId="0" fillId="2" borderId="6" xfId="0" applyNumberFormat="1" applyFill="1" applyBorder="1" applyAlignment="1">
      <alignment horizontal="center" vertical="center"/>
    </xf>
    <xf numFmtId="2" fontId="0" fillId="3" borderId="0" xfId="0" applyNumberFormat="1" applyFill="1" applyAlignment="1">
      <alignment horizontal="center" vertical="center"/>
    </xf>
    <xf numFmtId="2" fontId="0" fillId="2" borderId="2" xfId="0" applyNumberFormat="1" applyFill="1" applyBorder="1" applyAlignment="1">
      <alignment horizontal="center" vertical="center"/>
    </xf>
    <xf numFmtId="0" fontId="0" fillId="2" borderId="47" xfId="0" applyFill="1" applyBorder="1" applyAlignment="1">
      <alignment horizontal="centerContinuous"/>
    </xf>
    <xf numFmtId="0" fontId="0" fillId="2" borderId="13" xfId="0" applyFill="1" applyBorder="1" applyAlignment="1">
      <alignment horizontal="centerContinuous"/>
    </xf>
    <xf numFmtId="0" fontId="0" fillId="2" borderId="8" xfId="0" applyFill="1" applyBorder="1" applyAlignment="1">
      <alignment horizontal="centerContinuous"/>
    </xf>
    <xf numFmtId="0" fontId="1" fillId="2" borderId="25" xfId="0" applyFont="1" applyFill="1" applyBorder="1" applyAlignment="1">
      <alignment horizontal="centerContinuous" vertical="center" wrapText="1"/>
    </xf>
    <xf numFmtId="0" fontId="1" fillId="2" borderId="11" xfId="0" applyFont="1" applyFill="1" applyBorder="1" applyAlignment="1">
      <alignment horizontal="centerContinuous" vertical="center" wrapText="1"/>
    </xf>
    <xf numFmtId="0" fontId="1" fillId="2" borderId="43" xfId="0" applyFont="1" applyFill="1" applyBorder="1" applyAlignment="1">
      <alignment horizontal="center" vertical="center" wrapText="1"/>
    </xf>
    <xf numFmtId="1" fontId="0" fillId="2" borderId="8" xfId="0" applyNumberFormat="1" applyFill="1" applyBorder="1" applyAlignment="1">
      <alignment horizontal="center"/>
    </xf>
    <xf numFmtId="1" fontId="0" fillId="5" borderId="30" xfId="0" applyNumberFormat="1" applyFill="1" applyBorder="1" applyAlignment="1">
      <alignment horizontal="center"/>
    </xf>
    <xf numFmtId="0" fontId="0" fillId="5" borderId="4" xfId="0" applyFill="1" applyBorder="1" applyAlignment="1">
      <alignment horizontal="center"/>
    </xf>
    <xf numFmtId="0" fontId="0" fillId="2" borderId="1" xfId="0" applyFill="1" applyBorder="1" applyAlignment="1">
      <alignment horizontal="centerContinuous"/>
    </xf>
    <xf numFmtId="0" fontId="0" fillId="2" borderId="7" xfId="0" applyFill="1" applyBorder="1" applyAlignment="1">
      <alignment horizontal="centerContinuous"/>
    </xf>
    <xf numFmtId="164" fontId="0" fillId="2" borderId="39" xfId="0" applyNumberFormat="1" applyFill="1" applyBorder="1" applyAlignment="1">
      <alignment horizontal="center"/>
    </xf>
    <xf numFmtId="164" fontId="0" fillId="2" borderId="7" xfId="0" applyNumberFormat="1" applyFill="1" applyBorder="1" applyAlignment="1">
      <alignment horizontal="center"/>
    </xf>
    <xf numFmtId="2" fontId="0" fillId="2" borderId="39" xfId="0" applyNumberFormat="1" applyFill="1" applyBorder="1" applyAlignment="1">
      <alignment horizontal="center"/>
    </xf>
    <xf numFmtId="2" fontId="0" fillId="5" borderId="43" xfId="0" applyNumberFormat="1" applyFill="1" applyBorder="1" applyAlignment="1">
      <alignment horizontal="center"/>
    </xf>
    <xf numFmtId="0" fontId="0" fillId="2" borderId="3" xfId="0" applyFill="1" applyBorder="1" applyAlignment="1">
      <alignment horizontal="left" indent="9"/>
    </xf>
    <xf numFmtId="0" fontId="0" fillId="2" borderId="0" xfId="0" applyFill="1" applyBorder="1" applyAlignment="1">
      <alignment horizontal="left" indent="9"/>
    </xf>
    <xf numFmtId="0" fontId="0" fillId="2" borderId="5" xfId="0" applyFill="1" applyBorder="1" applyAlignment="1">
      <alignment horizontal="left" indent="9"/>
    </xf>
    <xf numFmtId="0" fontId="0" fillId="2" borderId="8" xfId="0" applyFill="1" applyBorder="1" applyAlignment="1">
      <alignment horizontal="left" indent="9"/>
    </xf>
    <xf numFmtId="1" fontId="0" fillId="5" borderId="15" xfId="0" applyNumberFormat="1" applyFill="1" applyBorder="1" applyAlignment="1">
      <alignment horizontal="center"/>
    </xf>
    <xf numFmtId="0" fontId="0" fillId="5" borderId="6" xfId="0" applyFill="1" applyBorder="1" applyAlignment="1">
      <alignment horizontal="center"/>
    </xf>
    <xf numFmtId="2" fontId="0" fillId="2" borderId="43" xfId="0" applyNumberFormat="1" applyFill="1" applyBorder="1" applyAlignment="1">
      <alignment horizontal="center"/>
    </xf>
    <xf numFmtId="3" fontId="0" fillId="2" borderId="6" xfId="0" applyNumberFormat="1" applyFill="1" applyBorder="1" applyAlignment="1">
      <alignment horizontal="center"/>
    </xf>
    <xf numFmtId="0" fontId="0" fillId="3" borderId="0" xfId="0" applyFill="1" applyBorder="1"/>
    <xf numFmtId="0" fontId="1" fillId="2" borderId="33" xfId="0" applyFont="1" applyFill="1" applyBorder="1" applyAlignment="1">
      <alignment horizontal="centerContinuous" vertical="center"/>
    </xf>
    <xf numFmtId="0" fontId="0" fillId="2" borderId="9" xfId="0" applyFill="1" applyBorder="1"/>
    <xf numFmtId="3" fontId="0" fillId="2" borderId="8" xfId="0" applyNumberFormat="1" applyFill="1" applyBorder="1" applyAlignment="1">
      <alignment horizontal="center"/>
    </xf>
    <xf numFmtId="2" fontId="0" fillId="2" borderId="18" xfId="0" applyNumberFormat="1" applyFill="1" applyBorder="1" applyAlignment="1">
      <alignment horizontal="center"/>
    </xf>
    <xf numFmtId="1" fontId="0" fillId="2" borderId="10" xfId="0" applyNumberFormat="1" applyFill="1" applyBorder="1" applyAlignment="1">
      <alignment horizontal="right"/>
    </xf>
    <xf numFmtId="0" fontId="0" fillId="6" borderId="36" xfId="0" applyFill="1" applyBorder="1" applyAlignment="1">
      <alignment horizontal="center"/>
    </xf>
    <xf numFmtId="0" fontId="0" fillId="6" borderId="16" xfId="0" applyFill="1" applyBorder="1" applyAlignment="1">
      <alignment horizontal="center"/>
    </xf>
    <xf numFmtId="0" fontId="0" fillId="6" borderId="4" xfId="0" applyFill="1" applyBorder="1" applyAlignment="1">
      <alignment horizontal="center"/>
    </xf>
    <xf numFmtId="0" fontId="0" fillId="6" borderId="6" xfId="0" applyFill="1" applyBorder="1" applyAlignment="1">
      <alignment horizontal="center"/>
    </xf>
    <xf numFmtId="0" fontId="0" fillId="6" borderId="2" xfId="0" applyFill="1" applyBorder="1" applyAlignment="1">
      <alignment horizontal="center"/>
    </xf>
    <xf numFmtId="0" fontId="0" fillId="3" borderId="0" xfId="0" applyFill="1" applyAlignment="1">
      <alignment vertical="top" wrapText="1"/>
    </xf>
    <xf numFmtId="0" fontId="0" fillId="4" borderId="13" xfId="0" applyFill="1" applyBorder="1" applyAlignment="1" applyProtection="1">
      <alignment horizontal="center"/>
      <protection locked="0"/>
    </xf>
    <xf numFmtId="0" fontId="0" fillId="4" borderId="14" xfId="0" applyFill="1" applyBorder="1" applyAlignment="1" applyProtection="1">
      <alignment horizontal="center"/>
      <protection locked="0"/>
    </xf>
    <xf numFmtId="0" fontId="0" fillId="4" borderId="8" xfId="0" applyFill="1" applyBorder="1" applyAlignment="1" applyProtection="1">
      <alignment horizontal="center"/>
      <protection locked="0"/>
    </xf>
    <xf numFmtId="0" fontId="0" fillId="4" borderId="15" xfId="0" applyFill="1" applyBorder="1" applyAlignment="1" applyProtection="1">
      <alignment horizontal="center"/>
      <protection locked="0"/>
    </xf>
    <xf numFmtId="0" fontId="0" fillId="4" borderId="2" xfId="0" applyFill="1" applyBorder="1" applyAlignment="1" applyProtection="1">
      <alignment horizontal="center"/>
      <protection locked="0"/>
    </xf>
    <xf numFmtId="0" fontId="0" fillId="4" borderId="28" xfId="0" applyFill="1" applyBorder="1" applyAlignment="1" applyProtection="1">
      <alignment horizontal="center"/>
      <protection locked="0"/>
    </xf>
    <xf numFmtId="0" fontId="0" fillId="4" borderId="6" xfId="0" applyFill="1" applyBorder="1" applyAlignment="1" applyProtection="1">
      <alignment horizontal="center"/>
      <protection locked="0"/>
    </xf>
    <xf numFmtId="0" fontId="0" fillId="4" borderId="0" xfId="0" applyFill="1" applyBorder="1" applyAlignment="1" applyProtection="1">
      <alignment horizontal="center"/>
      <protection locked="0"/>
    </xf>
    <xf numFmtId="0" fontId="0" fillId="4" borderId="30" xfId="0" applyFill="1" applyBorder="1" applyAlignment="1" applyProtection="1">
      <alignment horizontal="center"/>
      <protection locked="0"/>
    </xf>
    <xf numFmtId="0" fontId="0" fillId="4" borderId="29" xfId="0" applyFill="1" applyBorder="1" applyAlignment="1" applyProtection="1">
      <alignment horizontal="center"/>
      <protection locked="0"/>
    </xf>
    <xf numFmtId="0" fontId="0" fillId="4" borderId="36" xfId="0" applyFill="1" applyBorder="1" applyAlignment="1" applyProtection="1">
      <alignment horizontal="center"/>
      <protection locked="0"/>
    </xf>
    <xf numFmtId="0" fontId="0" fillId="4" borderId="16" xfId="0" applyFill="1" applyBorder="1" applyAlignment="1" applyProtection="1">
      <alignment horizontal="center"/>
      <protection locked="0"/>
    </xf>
    <xf numFmtId="0" fontId="0" fillId="4" borderId="37" xfId="0" applyFill="1" applyBorder="1" applyAlignment="1" applyProtection="1">
      <alignment horizontal="center"/>
      <protection locked="0"/>
    </xf>
    <xf numFmtId="0" fontId="0" fillId="4" borderId="1" xfId="0" applyFill="1" applyBorder="1" applyAlignment="1" applyProtection="1">
      <alignment horizontal="center"/>
      <protection locked="0"/>
    </xf>
    <xf numFmtId="0" fontId="0" fillId="4" borderId="7" xfId="0" applyFill="1" applyBorder="1" applyAlignment="1" applyProtection="1">
      <alignment horizontal="center"/>
      <protection locked="0"/>
    </xf>
    <xf numFmtId="0" fontId="0" fillId="4" borderId="43" xfId="0" applyFill="1" applyBorder="1" applyAlignment="1" applyProtection="1">
      <alignment horizontal="center"/>
      <protection locked="0"/>
    </xf>
    <xf numFmtId="0" fontId="0" fillId="4" borderId="5" xfId="0" applyFill="1" applyBorder="1" applyAlignment="1" applyProtection="1">
      <alignment horizontal="center"/>
      <protection locked="0"/>
    </xf>
    <xf numFmtId="0" fontId="0" fillId="4" borderId="3" xfId="0" applyFill="1" applyBorder="1" applyAlignment="1" applyProtection="1">
      <alignment horizontal="center"/>
      <protection locked="0"/>
    </xf>
    <xf numFmtId="0" fontId="0" fillId="3" borderId="0" xfId="0" applyFill="1" applyBorder="1" applyAlignment="1">
      <alignment vertical="center" wrapText="1"/>
    </xf>
    <xf numFmtId="37" fontId="0" fillId="2" borderId="16" xfId="0" applyNumberFormat="1" applyFill="1" applyBorder="1" applyAlignment="1">
      <alignment horizontal="center"/>
    </xf>
    <xf numFmtId="0" fontId="0" fillId="2" borderId="47" xfId="0" applyFill="1" applyBorder="1"/>
    <xf numFmtId="0" fontId="3" fillId="2" borderId="32" xfId="0" applyFont="1" applyFill="1" applyBorder="1" applyAlignment="1">
      <alignment horizontal="center" vertical="center"/>
    </xf>
    <xf numFmtId="0" fontId="4" fillId="2" borderId="32" xfId="0" applyFont="1" applyFill="1" applyBorder="1" applyAlignment="1">
      <alignment horizontal="center" vertical="center"/>
    </xf>
    <xf numFmtId="0" fontId="0" fillId="2" borderId="32" xfId="0" applyFill="1" applyBorder="1" applyAlignment="1">
      <alignment horizontal="center" vertical="center" wrapText="1"/>
    </xf>
    <xf numFmtId="0" fontId="0" fillId="3" borderId="0" xfId="0" applyFill="1" applyBorder="1" applyAlignment="1"/>
    <xf numFmtId="0" fontId="0" fillId="3" borderId="0" xfId="0" applyFill="1" applyBorder="1" applyAlignment="1">
      <alignment wrapText="1"/>
    </xf>
    <xf numFmtId="0" fontId="0" fillId="2" borderId="32" xfId="0" applyFill="1" applyBorder="1" applyAlignment="1">
      <alignment horizontal="center"/>
    </xf>
    <xf numFmtId="0" fontId="1" fillId="2" borderId="47" xfId="0" applyFont="1" applyFill="1" applyBorder="1" applyAlignment="1">
      <alignment horizontal="center" wrapText="1"/>
    </xf>
    <xf numFmtId="37" fontId="0" fillId="2" borderId="36" xfId="0" applyNumberFormat="1" applyFill="1" applyBorder="1" applyAlignment="1">
      <alignment horizontal="center"/>
    </xf>
    <xf numFmtId="0" fontId="1" fillId="2" borderId="38" xfId="0" applyFont="1" applyFill="1" applyBorder="1" applyAlignment="1">
      <alignment horizontal="center"/>
    </xf>
    <xf numFmtId="0" fontId="0" fillId="2" borderId="3" xfId="0" applyFill="1" applyBorder="1" applyAlignment="1" applyProtection="1">
      <alignment horizontal="center"/>
    </xf>
    <xf numFmtId="0" fontId="0" fillId="2" borderId="0" xfId="0" applyFill="1" applyBorder="1" applyAlignment="1" applyProtection="1">
      <alignment horizontal="center"/>
    </xf>
    <xf numFmtId="0" fontId="0" fillId="2" borderId="30" xfId="0" applyFill="1" applyBorder="1" applyAlignment="1" applyProtection="1">
      <alignment horizontal="center"/>
    </xf>
    <xf numFmtId="0" fontId="0" fillId="2" borderId="5" xfId="0" applyFill="1" applyBorder="1" applyAlignment="1" applyProtection="1">
      <alignment horizontal="center"/>
    </xf>
    <xf numFmtId="0" fontId="0" fillId="2" borderId="8" xfId="0" applyFill="1" applyBorder="1" applyAlignment="1" applyProtection="1">
      <alignment horizontal="center"/>
    </xf>
    <xf numFmtId="0" fontId="0" fillId="2" borderId="15" xfId="0" applyFill="1" applyBorder="1" applyAlignment="1" applyProtection="1">
      <alignment horizontal="center"/>
    </xf>
    <xf numFmtId="0" fontId="0" fillId="2" borderId="36" xfId="0" applyFill="1" applyBorder="1" applyAlignment="1" applyProtection="1">
      <alignment horizontal="center"/>
    </xf>
    <xf numFmtId="0" fontId="0" fillId="2" borderId="16" xfId="0" applyFill="1" applyBorder="1" applyAlignment="1" applyProtection="1">
      <alignment horizontal="center"/>
    </xf>
    <xf numFmtId="0" fontId="0" fillId="2" borderId="25" xfId="0" applyFill="1" applyBorder="1" applyAlignment="1">
      <alignment horizontal="centerContinuous"/>
    </xf>
    <xf numFmtId="0" fontId="1" fillId="2" borderId="38" xfId="0" applyFont="1" applyFill="1" applyBorder="1" applyAlignment="1">
      <alignment horizontal="center" wrapText="1"/>
    </xf>
    <xf numFmtId="0" fontId="1" fillId="2" borderId="1" xfId="0" applyFont="1" applyFill="1" applyBorder="1" applyAlignment="1">
      <alignment horizontal="center"/>
    </xf>
    <xf numFmtId="0" fontId="1" fillId="2" borderId="39" xfId="0" applyFont="1" applyFill="1" applyBorder="1" applyAlignment="1">
      <alignment horizontal="center"/>
    </xf>
    <xf numFmtId="0" fontId="1" fillId="2" borderId="31" xfId="0" applyFont="1" applyFill="1" applyBorder="1" applyAlignment="1">
      <alignment horizontal="center" vertical="center" wrapText="1"/>
    </xf>
    <xf numFmtId="0" fontId="5" fillId="2" borderId="32" xfId="0" applyFont="1" applyFill="1" applyBorder="1" applyAlignment="1">
      <alignment horizontal="center"/>
    </xf>
    <xf numFmtId="1" fontId="0" fillId="2" borderId="46" xfId="0" applyNumberFormat="1" applyFill="1" applyBorder="1" applyAlignment="1">
      <alignment horizontal="center"/>
    </xf>
    <xf numFmtId="1" fontId="0" fillId="3" borderId="0" xfId="0" applyNumberFormat="1" applyFill="1" applyBorder="1" applyAlignment="1">
      <alignment horizontal="center"/>
    </xf>
    <xf numFmtId="1" fontId="0" fillId="2" borderId="7" xfId="0" applyNumberFormat="1" applyFill="1" applyBorder="1" applyAlignment="1">
      <alignment horizontal="center"/>
    </xf>
    <xf numFmtId="0" fontId="0" fillId="2" borderId="32" xfId="0" applyFill="1" applyBorder="1" applyAlignment="1">
      <alignment horizontal="center" wrapText="1"/>
    </xf>
    <xf numFmtId="2" fontId="0" fillId="2" borderId="7" xfId="0" applyNumberFormat="1" applyFill="1" applyBorder="1" applyAlignment="1">
      <alignment horizontal="center"/>
    </xf>
    <xf numFmtId="1" fontId="0" fillId="5" borderId="0" xfId="0" applyNumberFormat="1" applyFill="1" applyBorder="1" applyAlignment="1">
      <alignment horizontal="center"/>
    </xf>
    <xf numFmtId="37" fontId="0" fillId="2" borderId="37" xfId="1" applyNumberFormat="1" applyFont="1" applyFill="1" applyBorder="1" applyAlignment="1">
      <alignment horizontal="center" vertical="center"/>
    </xf>
    <xf numFmtId="37" fontId="0" fillId="2" borderId="36" xfId="1" applyNumberFormat="1" applyFont="1" applyFill="1" applyBorder="1" applyAlignment="1">
      <alignment horizontal="center" vertical="center"/>
    </xf>
    <xf numFmtId="37" fontId="0" fillId="2" borderId="48" xfId="1" applyNumberFormat="1" applyFont="1" applyFill="1" applyBorder="1" applyAlignment="1">
      <alignment horizontal="center" vertical="center"/>
    </xf>
    <xf numFmtId="0" fontId="1" fillId="2" borderId="7" xfId="0" applyFont="1" applyFill="1" applyBorder="1" applyAlignment="1">
      <alignment horizontal="center" vertical="center"/>
    </xf>
    <xf numFmtId="0" fontId="1" fillId="2" borderId="23" xfId="0" applyFont="1" applyFill="1" applyBorder="1" applyAlignment="1">
      <alignment horizontal="center" vertical="center"/>
    </xf>
    <xf numFmtId="0" fontId="1" fillId="2" borderId="2" xfId="0" applyFont="1" applyFill="1" applyBorder="1" applyAlignment="1">
      <alignment horizontal="center" vertical="center"/>
    </xf>
    <xf numFmtId="0" fontId="1" fillId="2" borderId="26" xfId="0" applyFont="1" applyFill="1" applyBorder="1" applyAlignment="1">
      <alignment horizontal="center" vertical="center"/>
    </xf>
    <xf numFmtId="0" fontId="0" fillId="2" borderId="1" xfId="0" applyFill="1" applyBorder="1" applyAlignment="1">
      <alignment horizontal="center" vertical="center"/>
    </xf>
    <xf numFmtId="0" fontId="0" fillId="2" borderId="7" xfId="0" applyFill="1" applyBorder="1" applyAlignment="1">
      <alignment horizontal="center" vertical="center"/>
    </xf>
    <xf numFmtId="0" fontId="0" fillId="2" borderId="2" xfId="0" applyFill="1" applyBorder="1" applyAlignment="1">
      <alignment horizontal="center" vertical="center"/>
    </xf>
    <xf numFmtId="0" fontId="0" fillId="2" borderId="5" xfId="0" applyFill="1" applyBorder="1" applyAlignment="1">
      <alignment horizontal="center" vertical="center"/>
    </xf>
    <xf numFmtId="0" fontId="0" fillId="2" borderId="8" xfId="0" applyFill="1" applyBorder="1" applyAlignment="1">
      <alignment horizontal="center" vertical="center"/>
    </xf>
    <xf numFmtId="0" fontId="0" fillId="2" borderId="6" xfId="0" applyFill="1" applyBorder="1" applyAlignment="1">
      <alignment horizontal="center" vertical="center"/>
    </xf>
    <xf numFmtId="0" fontId="1" fillId="2" borderId="25" xfId="0" applyFont="1" applyFill="1" applyBorder="1" applyAlignment="1">
      <alignment horizontal="center" vertical="center"/>
    </xf>
    <xf numFmtId="0" fontId="1" fillId="2" borderId="27" xfId="0" applyFont="1" applyFill="1" applyBorder="1" applyAlignment="1">
      <alignment horizontal="center" vertical="center"/>
    </xf>
    <xf numFmtId="0" fontId="1" fillId="2" borderId="39" xfId="0" applyFont="1" applyFill="1" applyBorder="1" applyAlignment="1">
      <alignment horizontal="center" vertical="center"/>
    </xf>
    <xf numFmtId="0" fontId="1" fillId="2" borderId="31" xfId="0" applyFont="1" applyFill="1" applyBorder="1" applyAlignment="1">
      <alignment horizontal="center" vertical="center"/>
    </xf>
    <xf numFmtId="0" fontId="0" fillId="2" borderId="1" xfId="0" applyFill="1" applyBorder="1" applyAlignment="1">
      <alignment horizontal="center" vertical="center" wrapText="1"/>
    </xf>
    <xf numFmtId="0" fontId="0" fillId="2" borderId="7" xfId="0" applyFill="1" applyBorder="1" applyAlignment="1">
      <alignment horizontal="center" vertical="center" wrapText="1"/>
    </xf>
    <xf numFmtId="0" fontId="0" fillId="2" borderId="2" xfId="0" applyFill="1" applyBorder="1" applyAlignment="1">
      <alignment horizontal="center" vertical="center" wrapText="1"/>
    </xf>
    <xf numFmtId="0" fontId="0" fillId="2" borderId="3" xfId="0" applyFill="1" applyBorder="1" applyAlignment="1">
      <alignment horizontal="center" vertical="center" wrapText="1"/>
    </xf>
    <xf numFmtId="0" fontId="0" fillId="2" borderId="0" xfId="0" applyFill="1" applyBorder="1" applyAlignment="1">
      <alignment horizontal="center" vertical="center" wrapText="1"/>
    </xf>
    <xf numFmtId="0" fontId="0" fillId="2" borderId="4" xfId="0" applyFill="1" applyBorder="1" applyAlignment="1">
      <alignment horizontal="center" vertical="center" wrapText="1"/>
    </xf>
    <xf numFmtId="0" fontId="0" fillId="2" borderId="5" xfId="0" applyFill="1" applyBorder="1" applyAlignment="1">
      <alignment horizontal="center" vertical="center" wrapText="1"/>
    </xf>
    <xf numFmtId="0" fontId="0" fillId="2" borderId="8" xfId="0" applyFill="1" applyBorder="1" applyAlignment="1">
      <alignment horizontal="center" vertical="center" wrapText="1"/>
    </xf>
    <xf numFmtId="0" fontId="0" fillId="2" borderId="6" xfId="0" applyFill="1" applyBorder="1" applyAlignment="1">
      <alignment horizontal="center" vertical="center" wrapText="1"/>
    </xf>
    <xf numFmtId="0" fontId="0" fillId="3" borderId="0" xfId="0" applyFill="1" applyAlignment="1">
      <alignment horizontal="center" vertical="top" wrapText="1"/>
    </xf>
    <xf numFmtId="3" fontId="0" fillId="2" borderId="20" xfId="1" applyNumberFormat="1" applyFont="1" applyFill="1" applyBorder="1" applyAlignment="1">
      <alignment horizontal="center"/>
    </xf>
    <xf numFmtId="3" fontId="0" fillId="2" borderId="18" xfId="1" applyNumberFormat="1" applyFont="1" applyFill="1" applyBorder="1" applyAlignment="1">
      <alignment horizontal="center"/>
    </xf>
    <xf numFmtId="3" fontId="0" fillId="2" borderId="10" xfId="1" applyNumberFormat="1" applyFont="1" applyFill="1" applyBorder="1" applyAlignment="1">
      <alignment horizontal="center"/>
    </xf>
    <xf numFmtId="0" fontId="1" fillId="2" borderId="9" xfId="0" applyFont="1" applyFill="1" applyBorder="1" applyAlignment="1">
      <alignment horizontal="center"/>
    </xf>
  </cellXfs>
  <cellStyles count="2">
    <cellStyle name="Comma" xfId="1" builtinId="3"/>
    <cellStyle name="Normal" xfId="0" builtinId="0"/>
  </cellStyles>
  <dxfs count="91">
    <dxf>
      <font>
        <b/>
        <i val="0"/>
        <color theme="7"/>
      </font>
    </dxf>
    <dxf>
      <font>
        <b/>
        <i val="0"/>
        <color theme="5"/>
      </font>
    </dxf>
    <dxf>
      <font>
        <b/>
        <i val="0"/>
        <color rgb="FFC00000"/>
      </font>
    </dxf>
    <dxf>
      <font>
        <b/>
        <i val="0"/>
        <color theme="7"/>
      </font>
    </dxf>
    <dxf>
      <font>
        <b/>
        <i val="0"/>
        <color theme="5"/>
      </font>
    </dxf>
    <dxf>
      <font>
        <b/>
        <i val="0"/>
        <color rgb="FFC00000"/>
      </font>
    </dxf>
    <dxf>
      <font>
        <b/>
        <i val="0"/>
        <color theme="7"/>
      </font>
    </dxf>
    <dxf>
      <font>
        <b/>
        <i val="0"/>
        <color theme="5"/>
      </font>
    </dxf>
    <dxf>
      <font>
        <b/>
        <i val="0"/>
        <color rgb="FFC00000"/>
      </font>
    </dxf>
    <dxf>
      <font>
        <b/>
        <i val="0"/>
        <color theme="7"/>
      </font>
    </dxf>
    <dxf>
      <font>
        <b/>
        <i val="0"/>
        <color theme="5"/>
      </font>
    </dxf>
    <dxf>
      <font>
        <b/>
        <i val="0"/>
        <color rgb="FFC00000"/>
      </font>
    </dxf>
    <dxf>
      <font>
        <b/>
        <i val="0"/>
        <color theme="7"/>
      </font>
    </dxf>
    <dxf>
      <font>
        <b/>
        <i val="0"/>
        <color theme="5"/>
      </font>
    </dxf>
    <dxf>
      <font>
        <b/>
        <i val="0"/>
        <color rgb="FFC00000"/>
      </font>
    </dxf>
    <dxf>
      <font>
        <b/>
        <i val="0"/>
        <color theme="7"/>
      </font>
    </dxf>
    <dxf>
      <font>
        <b/>
        <i val="0"/>
        <color theme="5"/>
      </font>
    </dxf>
    <dxf>
      <font>
        <b/>
        <i val="0"/>
        <color rgb="FFC00000"/>
      </font>
    </dxf>
    <dxf>
      <font>
        <b/>
        <i val="0"/>
        <color theme="7"/>
      </font>
    </dxf>
    <dxf>
      <font>
        <b/>
        <i val="0"/>
        <color theme="5"/>
      </font>
    </dxf>
    <dxf>
      <font>
        <b/>
        <i val="0"/>
        <color rgb="FFC00000"/>
      </font>
    </dxf>
    <dxf>
      <font>
        <b/>
        <i val="0"/>
        <color theme="7"/>
      </font>
    </dxf>
    <dxf>
      <font>
        <b/>
        <i val="0"/>
        <color theme="5"/>
      </font>
    </dxf>
    <dxf>
      <font>
        <b/>
        <i val="0"/>
        <color rgb="FFC00000"/>
      </font>
    </dxf>
    <dxf>
      <font>
        <b/>
        <i val="0"/>
        <color theme="7"/>
      </font>
    </dxf>
    <dxf>
      <font>
        <b/>
        <i val="0"/>
        <color theme="5"/>
      </font>
    </dxf>
    <dxf>
      <font>
        <b/>
        <i val="0"/>
        <color rgb="FFC00000"/>
      </font>
    </dxf>
    <dxf>
      <font>
        <b/>
        <i val="0"/>
        <color theme="7"/>
      </font>
    </dxf>
    <dxf>
      <font>
        <b/>
        <i val="0"/>
        <color theme="5"/>
      </font>
    </dxf>
    <dxf>
      <font>
        <b/>
        <i val="0"/>
        <color rgb="FFC00000"/>
      </font>
    </dxf>
    <dxf>
      <font>
        <b/>
        <i val="0"/>
        <color theme="7"/>
      </font>
    </dxf>
    <dxf>
      <font>
        <b/>
        <i val="0"/>
        <color theme="5"/>
      </font>
    </dxf>
    <dxf>
      <font>
        <b/>
        <i val="0"/>
        <color rgb="FFC00000"/>
      </font>
    </dxf>
    <dxf>
      <font>
        <b/>
        <i val="0"/>
        <color theme="7"/>
      </font>
    </dxf>
    <dxf>
      <font>
        <b/>
        <i val="0"/>
        <color theme="5"/>
      </font>
    </dxf>
    <dxf>
      <font>
        <b/>
        <i val="0"/>
        <color rgb="FFC00000"/>
      </font>
    </dxf>
    <dxf>
      <font>
        <b/>
        <i val="0"/>
        <color theme="7"/>
      </font>
    </dxf>
    <dxf>
      <font>
        <b/>
        <i val="0"/>
        <color theme="5"/>
      </font>
    </dxf>
    <dxf>
      <font>
        <b/>
        <i val="0"/>
        <color rgb="FFC00000"/>
      </font>
    </dxf>
    <dxf>
      <font>
        <b/>
        <i val="0"/>
        <color theme="7"/>
      </font>
    </dxf>
    <dxf>
      <font>
        <b/>
        <i val="0"/>
        <color theme="5"/>
      </font>
    </dxf>
    <dxf>
      <font>
        <b/>
        <i val="0"/>
        <color rgb="FFC00000"/>
      </font>
    </dxf>
    <dxf>
      <font>
        <b/>
        <i val="0"/>
        <color theme="7"/>
      </font>
    </dxf>
    <dxf>
      <font>
        <b/>
        <i val="0"/>
        <color theme="5"/>
      </font>
    </dxf>
    <dxf>
      <font>
        <b/>
        <i val="0"/>
        <color rgb="FFC00000"/>
      </font>
    </dxf>
    <dxf>
      <font>
        <b/>
        <i val="0"/>
        <color theme="7"/>
      </font>
    </dxf>
    <dxf>
      <font>
        <b/>
        <i val="0"/>
        <color theme="5"/>
      </font>
    </dxf>
    <dxf>
      <font>
        <b/>
        <i val="0"/>
        <color rgb="FFC00000"/>
      </font>
    </dxf>
    <dxf>
      <font>
        <b/>
        <i val="0"/>
        <color theme="7"/>
      </font>
    </dxf>
    <dxf>
      <font>
        <b/>
        <i val="0"/>
        <color theme="5"/>
      </font>
    </dxf>
    <dxf>
      <font>
        <b/>
        <i val="0"/>
        <color theme="7"/>
      </font>
    </dxf>
    <dxf>
      <font>
        <b/>
        <i val="0"/>
        <color theme="5"/>
      </font>
    </dxf>
    <dxf>
      <font>
        <b/>
        <i val="0"/>
        <color theme="7"/>
      </font>
    </dxf>
    <dxf>
      <font>
        <b/>
        <i val="0"/>
        <color theme="5"/>
      </font>
    </dxf>
    <dxf>
      <font>
        <b/>
        <i val="0"/>
        <color rgb="FFC00000"/>
      </font>
    </dxf>
    <dxf>
      <font>
        <b/>
        <i val="0"/>
        <color theme="7"/>
      </font>
    </dxf>
    <dxf>
      <font>
        <b/>
        <i val="0"/>
        <color theme="5"/>
      </font>
    </dxf>
    <dxf>
      <font>
        <b/>
        <i val="0"/>
        <color rgb="FFC00000"/>
      </font>
    </dxf>
    <dxf>
      <font>
        <b/>
        <i val="0"/>
        <color theme="7"/>
      </font>
    </dxf>
    <dxf>
      <font>
        <b/>
        <i val="0"/>
        <color theme="5"/>
      </font>
    </dxf>
    <dxf>
      <font>
        <b/>
        <i val="0"/>
        <color rgb="FFC00000"/>
      </font>
    </dxf>
    <dxf>
      <font>
        <b/>
        <i val="0"/>
        <color theme="7"/>
      </font>
    </dxf>
    <dxf>
      <font>
        <b/>
        <i val="0"/>
        <color theme="5"/>
      </font>
    </dxf>
    <dxf>
      <font>
        <b/>
        <i val="0"/>
        <color rgb="FFC00000"/>
      </font>
    </dxf>
    <dxf>
      <font>
        <b/>
        <i val="0"/>
        <color theme="7"/>
      </font>
    </dxf>
    <dxf>
      <font>
        <b/>
        <i val="0"/>
        <color theme="5"/>
      </font>
    </dxf>
    <dxf>
      <font>
        <b/>
        <i val="0"/>
        <color rgb="FFC00000"/>
      </font>
    </dxf>
    <dxf>
      <font>
        <b/>
        <i val="0"/>
        <color theme="7"/>
      </font>
    </dxf>
    <dxf>
      <font>
        <b/>
        <i val="0"/>
        <color theme="5"/>
      </font>
    </dxf>
    <dxf>
      <font>
        <b/>
        <i val="0"/>
        <color rgb="FFC00000"/>
      </font>
    </dxf>
    <dxf>
      <font>
        <b/>
        <i val="0"/>
        <color theme="7"/>
      </font>
    </dxf>
    <dxf>
      <font>
        <b/>
        <i val="0"/>
        <color theme="5"/>
      </font>
    </dxf>
    <dxf>
      <font>
        <b/>
        <i val="0"/>
        <color rgb="FFC00000"/>
      </font>
    </dxf>
    <dxf>
      <font>
        <b/>
        <i val="0"/>
        <color theme="7"/>
      </font>
    </dxf>
    <dxf>
      <font>
        <b/>
        <i val="0"/>
        <color theme="5"/>
      </font>
    </dxf>
    <dxf>
      <font>
        <b/>
        <i val="0"/>
        <color rgb="FFC00000"/>
      </font>
    </dxf>
    <dxf>
      <font>
        <b/>
        <i val="0"/>
        <color theme="7"/>
      </font>
    </dxf>
    <dxf>
      <font>
        <b/>
        <i val="0"/>
        <color theme="5"/>
      </font>
    </dxf>
    <dxf>
      <font>
        <b/>
        <i val="0"/>
        <color rgb="FFC00000"/>
      </font>
    </dxf>
    <dxf>
      <font>
        <b/>
        <i val="0"/>
        <color theme="7"/>
      </font>
    </dxf>
    <dxf>
      <font>
        <b/>
        <i val="0"/>
        <color theme="5"/>
      </font>
    </dxf>
    <dxf>
      <font>
        <b/>
        <i val="0"/>
        <color rgb="FFC00000"/>
      </font>
    </dxf>
    <dxf>
      <font>
        <b/>
        <i val="0"/>
        <color theme="7"/>
      </font>
    </dxf>
    <dxf>
      <font>
        <b/>
        <i val="0"/>
        <color theme="5"/>
      </font>
    </dxf>
    <dxf>
      <font>
        <b/>
        <i val="0"/>
        <color rgb="FFC00000"/>
      </font>
    </dxf>
    <dxf>
      <font>
        <b/>
        <i val="0"/>
        <color theme="7"/>
      </font>
    </dxf>
    <dxf>
      <font>
        <b/>
        <i val="0"/>
        <color theme="5"/>
      </font>
    </dxf>
    <dxf>
      <font>
        <b/>
        <i val="0"/>
        <color rgb="FFC00000"/>
      </font>
    </dxf>
    <dxf>
      <font>
        <b/>
        <i val="0"/>
        <color theme="7"/>
      </font>
    </dxf>
    <dxf>
      <font>
        <b/>
        <i val="0"/>
        <color theme="5"/>
      </font>
    </dxf>
    <dxf>
      <font>
        <b/>
        <i val="0"/>
        <color rgb="FFC00000"/>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3</xdr:col>
      <xdr:colOff>76200</xdr:colOff>
      <xdr:row>8</xdr:row>
      <xdr:rowOff>106680</xdr:rowOff>
    </xdr:from>
    <xdr:to>
      <xdr:col>3</xdr:col>
      <xdr:colOff>624840</xdr:colOff>
      <xdr:row>8</xdr:row>
      <xdr:rowOff>106680</xdr:rowOff>
    </xdr:to>
    <xdr:cxnSp macro="">
      <xdr:nvCxnSpPr>
        <xdr:cNvPr id="5" name="Straight Arrow Connector 4"/>
        <xdr:cNvCxnSpPr/>
      </xdr:nvCxnSpPr>
      <xdr:spPr>
        <a:xfrm flipH="1">
          <a:off x="3032760" y="1607820"/>
          <a:ext cx="548640" cy="0"/>
        </a:xfrm>
        <a:prstGeom prst="straightConnector1">
          <a:avLst/>
        </a:prstGeom>
        <a:ln w="66675">
          <a:solidFill>
            <a:sysClr val="windowText" lastClr="000000"/>
          </a:solidFill>
          <a:headEnd w="med" len="med"/>
          <a:tailEnd type="triangle" w="med" len="med"/>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M23"/>
  <sheetViews>
    <sheetView tabSelected="1" workbookViewId="0">
      <selection activeCell="F23" sqref="F23"/>
    </sheetView>
  </sheetViews>
  <sheetFormatPr defaultRowHeight="14.4" x14ac:dyDescent="0.3"/>
  <cols>
    <col min="1" max="1" width="5.77734375" style="10" customWidth="1"/>
    <col min="2" max="2" width="24.44140625" style="10" customWidth="1"/>
    <col min="3" max="3" width="9.5546875" style="10" customWidth="1"/>
    <col min="4" max="4" width="11.109375" style="10" customWidth="1"/>
    <col min="5" max="5" width="12.77734375" style="10" bestFit="1" customWidth="1"/>
    <col min="6" max="6" width="12" style="10" customWidth="1"/>
    <col min="7" max="7" width="8.88671875" style="10" customWidth="1"/>
    <col min="8" max="8" width="12.6640625" style="10" customWidth="1"/>
    <col min="9" max="9" width="10.109375" style="10" customWidth="1"/>
    <col min="10" max="10" width="2.77734375" style="10" customWidth="1"/>
    <col min="11" max="11" width="10.77734375" style="10" customWidth="1"/>
    <col min="12" max="12" width="2.77734375" style="10" customWidth="1"/>
    <col min="13" max="13" width="10.77734375" style="10" customWidth="1"/>
    <col min="14" max="16384" width="8.88671875" style="10"/>
  </cols>
  <sheetData>
    <row r="1" spans="2:13" ht="15" thickBot="1" x14ac:dyDescent="0.35"/>
    <row r="2" spans="2:13" x14ac:dyDescent="0.3">
      <c r="B2" s="204" t="s">
        <v>28</v>
      </c>
      <c r="C2" s="182" t="s">
        <v>82</v>
      </c>
      <c r="D2" s="206" t="s">
        <v>11</v>
      </c>
      <c r="E2" s="194" t="s">
        <v>14</v>
      </c>
      <c r="F2" s="194" t="s">
        <v>19</v>
      </c>
      <c r="G2" s="206" t="s">
        <v>7</v>
      </c>
      <c r="H2" s="194" t="s">
        <v>8</v>
      </c>
      <c r="I2" s="196" t="s">
        <v>20</v>
      </c>
      <c r="K2" s="198" t="s">
        <v>100</v>
      </c>
      <c r="L2" s="199"/>
      <c r="M2" s="200"/>
    </row>
    <row r="3" spans="2:13" ht="15" thickBot="1" x14ac:dyDescent="0.35">
      <c r="B3" s="205"/>
      <c r="C3" s="183" t="s">
        <v>107</v>
      </c>
      <c r="D3" s="207"/>
      <c r="E3" s="195"/>
      <c r="F3" s="195"/>
      <c r="G3" s="207"/>
      <c r="H3" s="195"/>
      <c r="I3" s="197"/>
      <c r="K3" s="201"/>
      <c r="L3" s="202"/>
      <c r="M3" s="203"/>
    </row>
    <row r="4" spans="2:13" ht="15" thickBot="1" x14ac:dyDescent="0.35">
      <c r="B4" s="141">
        <v>1</v>
      </c>
      <c r="C4" s="142" t="s">
        <v>33</v>
      </c>
      <c r="D4" s="142">
        <v>0</v>
      </c>
      <c r="E4" s="143">
        <v>0</v>
      </c>
      <c r="F4" s="144">
        <v>0</v>
      </c>
      <c r="G4" s="3">
        <f>1*((1+D4*VLOOKUP(C4,DataTables!$B$2:$G$6,2,FALSE))-(E4*0.15))</f>
        <v>1</v>
      </c>
      <c r="H4" s="9">
        <f>1*(1+E4*VLOOKUP(C4,DataTables!$B$2:$G$6,4,FALSE))</f>
        <v>1</v>
      </c>
      <c r="I4" s="23">
        <f>4000*(1+IF(D4*VLOOKUP(C4,DataTables!$B$2:$G$6,3,FALSE)+E4*VLOOKUP(C4,DataTables!$B$2:$G$6,5,FALSE)-F4*VLOOKUP(C4,DataTables!$B$2:$G$6,6)&lt;-0.8,-0.8,(D4*VLOOKUP(C4,DataTables!$B$2:$G$6,3,FALSE)+E4*VLOOKUP(C4,DataTables!$B$2:$G$6,5,FALSE)-F4*VLOOKUP(C4,DataTables!$B$2:$G$6,6))))</f>
        <v>4000</v>
      </c>
      <c r="K4" s="25"/>
    </row>
    <row r="5" spans="2:13" ht="15" thickBot="1" x14ac:dyDescent="0.35">
      <c r="K5" s="164" t="s">
        <v>98</v>
      </c>
      <c r="M5" s="164" t="s">
        <v>99</v>
      </c>
    </row>
    <row r="6" spans="2:13" ht="15" customHeight="1" thickBot="1" x14ac:dyDescent="0.35">
      <c r="B6" s="17" t="s">
        <v>29</v>
      </c>
      <c r="C6" s="134">
        <f>300/(G4*B4)</f>
        <v>300</v>
      </c>
      <c r="D6" s="18" t="s">
        <v>30</v>
      </c>
      <c r="F6" s="20" t="s">
        <v>15</v>
      </c>
      <c r="G6" s="21"/>
      <c r="H6" s="22"/>
      <c r="K6" s="159"/>
      <c r="L6" s="129"/>
      <c r="M6" s="159"/>
    </row>
    <row r="7" spans="2:13" ht="15" thickBot="1" x14ac:dyDescent="0.35">
      <c r="K7" s="164" t="s">
        <v>98</v>
      </c>
      <c r="M7" s="164" t="s">
        <v>99</v>
      </c>
    </row>
    <row r="8" spans="2:13" ht="14.4" customHeight="1" thickBot="1" x14ac:dyDescent="0.35">
      <c r="B8" s="1" t="s">
        <v>13</v>
      </c>
      <c r="C8" s="145">
        <v>3</v>
      </c>
      <c r="E8" s="208" t="s">
        <v>88</v>
      </c>
      <c r="F8" s="209"/>
      <c r="G8" s="209"/>
      <c r="H8" s="209"/>
      <c r="I8" s="210"/>
      <c r="K8" s="159"/>
      <c r="L8" s="129"/>
      <c r="M8" s="159"/>
    </row>
    <row r="9" spans="2:13" ht="15" thickBot="1" x14ac:dyDescent="0.35">
      <c r="B9" s="19" t="s">
        <v>31</v>
      </c>
      <c r="C9" s="146">
        <v>3</v>
      </c>
      <c r="E9" s="211"/>
      <c r="F9" s="212"/>
      <c r="G9" s="212"/>
      <c r="H9" s="212"/>
      <c r="I9" s="213"/>
      <c r="K9" s="164" t="s">
        <v>98</v>
      </c>
      <c r="L9" s="129"/>
      <c r="M9" s="164" t="s">
        <v>99</v>
      </c>
    </row>
    <row r="10" spans="2:13" ht="15" thickBot="1" x14ac:dyDescent="0.35">
      <c r="B10" s="2" t="s">
        <v>63</v>
      </c>
      <c r="C10" s="147" t="s">
        <v>65</v>
      </c>
      <c r="E10" s="214"/>
      <c r="F10" s="215"/>
      <c r="G10" s="215"/>
      <c r="H10" s="215"/>
      <c r="I10" s="216"/>
    </row>
    <row r="11" spans="2:13" ht="15" thickBot="1" x14ac:dyDescent="0.35">
      <c r="J11" s="129"/>
      <c r="K11" s="198" t="s">
        <v>101</v>
      </c>
      <c r="L11" s="199"/>
      <c r="M11" s="200"/>
    </row>
    <row r="12" spans="2:13" ht="15" thickBot="1" x14ac:dyDescent="0.35">
      <c r="B12" s="37" t="s">
        <v>71</v>
      </c>
      <c r="C12" s="34" t="s">
        <v>16</v>
      </c>
      <c r="D12" s="34" t="s">
        <v>17</v>
      </c>
      <c r="E12" s="34" t="s">
        <v>2</v>
      </c>
      <c r="F12" s="36" t="s">
        <v>64</v>
      </c>
      <c r="H12" s="181" t="s">
        <v>105</v>
      </c>
      <c r="I12" s="191">
        <f>I4+'Rocket Parts'!C22+'Intermediate Products'!C21+'Modules &amp; Circuits'!C22+Oil!C26+'Mining &amp; Smelting'!C8</f>
        <v>322840</v>
      </c>
      <c r="J12" s="129"/>
      <c r="K12" s="201"/>
      <c r="L12" s="202"/>
      <c r="M12" s="203"/>
    </row>
    <row r="13" spans="2:13" ht="15" thickBot="1" x14ac:dyDescent="0.35">
      <c r="B13" s="13" t="s">
        <v>72</v>
      </c>
      <c r="C13" s="51">
        <f>'Rocket Parts'!F9+'Intermediate Products'!F9+'Modules &amp; Circuits'!F11+Oil!F18+'Mining &amp; Smelting'!F12+D4*VLOOKUP(C4,DataTables!$B$2:$N$6,8,FALSE)+(E4+F4)*VLOOKUP(C4,DataTables!$B$2:$N$6,11,FALSE)</f>
        <v>0</v>
      </c>
      <c r="D13" s="51">
        <f>'Rocket Parts'!G9+'Intermediate Products'!G9+'Modules &amp; Circuits'!G11+Oil!G18+'Mining &amp; Smelting'!G12+D4*VLOOKUP(C4,DataTables!$B$2:$N$6,9,FALSE)+(E4+F4)*VLOOKUP(C4,DataTables!$B$2:$N$6,12,FALSE)</f>
        <v>0</v>
      </c>
      <c r="E13" s="51">
        <f>'Rocket Parts'!H9+'Intermediate Products'!H9+'Modules &amp; Circuits'!H11+Oil!H18+'Mining &amp; Smelting'!H12+D4*VLOOKUP(C4,DataTables!$B$2:$N$6,10,FALSE)+(E4+F4)*VLOOKUP(C4,DataTables!$B$2:$N$6,13,FALSE)</f>
        <v>0</v>
      </c>
      <c r="F13" s="53"/>
      <c r="H13" s="180" t="s">
        <v>106</v>
      </c>
      <c r="I13" s="193"/>
    </row>
    <row r="14" spans="2:13" ht="15" thickBot="1" x14ac:dyDescent="0.35">
      <c r="B14" s="14" t="s">
        <v>84</v>
      </c>
      <c r="C14" s="51">
        <f>B4*11500+'Rocket Parts'!F12+'Intermediate Products'!F12+'Modules &amp; Circuits'!F14+Oil!F21+'Mining &amp; Smelting'!F15</f>
        <v>126813</v>
      </c>
      <c r="D14" s="51">
        <f>B4*8800+'Rocket Parts'!G12+'Intermediate Products'!G12+'Modules &amp; Circuits'!G14+Oil!G21+'Mining &amp; Smelting'!G15</f>
        <v>96638.5</v>
      </c>
      <c r="E14" s="51">
        <f>B4*800+'Rocket Parts'!H12+'Intermediate Products'!H12+'Modules &amp; Circuits'!H14+Oil!H21+'Mining &amp; Smelting'!H15</f>
        <v>23425</v>
      </c>
      <c r="F14" s="53">
        <f>B4*1000+'Mining &amp; Smelting'!Q3*VLOOKUP('Mining &amp; Smelting'!H3,DataTables!B14:I18,8,FALSE)+'Mining &amp; Smelting'!Q4*VLOOKUP('Mining &amp; Smelting'!H4,DataTables!B14:I18,8,FALSE)+'Mining &amp; Smelting'!Q5*VLOOKUP('Mining &amp; Smelting'!H5,DataTables!B14:I18,8,FALSE)</f>
        <v>3160</v>
      </c>
      <c r="H14" s="161" t="s">
        <v>86</v>
      </c>
      <c r="I14" s="169">
        <f>I12/1000*23.8</f>
        <v>7683.5919999999996</v>
      </c>
      <c r="K14" s="162" t="s">
        <v>98</v>
      </c>
      <c r="M14" s="167" t="s">
        <v>99</v>
      </c>
    </row>
    <row r="15" spans="2:13" ht="15" thickBot="1" x14ac:dyDescent="0.35">
      <c r="B15" s="54" t="s">
        <v>85</v>
      </c>
      <c r="C15" s="55">
        <f>SUM(C13:C14)</f>
        <v>126813</v>
      </c>
      <c r="D15" s="56">
        <f>SUM(D13:D14)</f>
        <v>96638.5</v>
      </c>
      <c r="E15" s="56">
        <f>SUM(E13:E14)</f>
        <v>23425</v>
      </c>
      <c r="F15" s="57">
        <f>SUM(F13:F14)</f>
        <v>3160</v>
      </c>
      <c r="H15" s="2" t="s">
        <v>35</v>
      </c>
      <c r="I15" s="160">
        <f>I14*0.84</f>
        <v>6454.2172799999998</v>
      </c>
    </row>
    <row r="16" spans="2:13" ht="15" thickBot="1" x14ac:dyDescent="0.35">
      <c r="B16" s="165"/>
      <c r="C16" s="52"/>
      <c r="D16" s="52"/>
      <c r="E16" s="52"/>
      <c r="F16" s="52"/>
      <c r="I16" s="24"/>
      <c r="K16" s="163" t="s">
        <v>98</v>
      </c>
      <c r="M16" s="167" t="s">
        <v>99</v>
      </c>
    </row>
    <row r="17" spans="2:13" ht="15" thickBot="1" x14ac:dyDescent="0.35">
      <c r="B17" s="41" t="s">
        <v>87</v>
      </c>
      <c r="C17" s="38" t="s">
        <v>69</v>
      </c>
      <c r="D17" s="39" t="s">
        <v>70</v>
      </c>
      <c r="E17" s="39" t="s">
        <v>57</v>
      </c>
      <c r="F17" s="40" t="s">
        <v>59</v>
      </c>
      <c r="H17" s="41" t="s">
        <v>103</v>
      </c>
      <c r="I17" s="191">
        <f>IF(I4&lt;960,I4,IF(I4&lt;1200,I4*0.5,I4*0.2))*B4+'Rocket Parts'!C23+'Intermediate Products'!C22+'Modules &amp; Circuits'!C23+Oil!C27+'Mining &amp; Smelting'!C9</f>
        <v>319640</v>
      </c>
    </row>
    <row r="18" spans="2:13" ht="15" thickBot="1" x14ac:dyDescent="0.35">
      <c r="B18" s="42" t="s">
        <v>104</v>
      </c>
      <c r="C18" s="5">
        <f>'Mining &amp; Smelting'!C4</f>
        <v>715.95087381754047</v>
      </c>
      <c r="D18" s="5">
        <f>'Mining &amp; Smelting'!C6</f>
        <v>576.07316337983002</v>
      </c>
      <c r="E18" s="5">
        <f>Oil!C17</f>
        <v>31.537562289562288</v>
      </c>
      <c r="F18" s="6">
        <f>Oil!C24</f>
        <v>133.5488819660782</v>
      </c>
      <c r="H18" s="168" t="s">
        <v>23</v>
      </c>
      <c r="I18" s="192"/>
      <c r="K18" s="184" t="s">
        <v>98</v>
      </c>
      <c r="M18" s="167" t="s">
        <v>99</v>
      </c>
    </row>
    <row r="19" spans="2:13" ht="15" thickBot="1" x14ac:dyDescent="0.35">
      <c r="H19" s="170" t="s">
        <v>102</v>
      </c>
      <c r="I19" s="193"/>
    </row>
    <row r="20" spans="2:13" ht="15" thickBot="1" x14ac:dyDescent="0.35">
      <c r="B20" s="221" t="s">
        <v>108</v>
      </c>
      <c r="C20" s="220">
        <f>C18*$C$6</f>
        <v>214785.26214526215</v>
      </c>
      <c r="D20" s="218">
        <f>D18*$C$6</f>
        <v>172821.94901394899</v>
      </c>
      <c r="E20" s="218">
        <f>E18*$C$6</f>
        <v>9461.2686868686869</v>
      </c>
      <c r="F20" s="219">
        <f>F18*$C$6</f>
        <v>40064.664589823456</v>
      </c>
      <c r="H20" s="161" t="s">
        <v>86</v>
      </c>
      <c r="I20" s="169">
        <f>I17/1000*23.8</f>
        <v>7607.4319999999998</v>
      </c>
      <c r="K20" s="188" t="s">
        <v>98</v>
      </c>
    </row>
    <row r="21" spans="2:13" ht="15" thickBot="1" x14ac:dyDescent="0.35">
      <c r="H21" s="2" t="s">
        <v>35</v>
      </c>
      <c r="I21" s="160">
        <f>I20*0.84</f>
        <v>6390.2428799999998</v>
      </c>
    </row>
    <row r="22" spans="2:13" ht="14.4" customHeight="1" thickBot="1" x14ac:dyDescent="0.35">
      <c r="B22" s="166"/>
      <c r="C22" s="166"/>
      <c r="D22" s="166"/>
      <c r="E22" s="166"/>
      <c r="F22" s="166"/>
      <c r="G22" s="166"/>
      <c r="H22" s="166"/>
      <c r="I22" s="166"/>
      <c r="J22" s="166"/>
      <c r="K22" s="167" t="s">
        <v>98</v>
      </c>
      <c r="L22" s="166"/>
      <c r="M22" s="166"/>
    </row>
    <row r="23" spans="2:13" x14ac:dyDescent="0.3">
      <c r="B23" s="166"/>
      <c r="C23" s="166"/>
      <c r="D23" s="166"/>
      <c r="E23" s="166"/>
      <c r="F23" s="166"/>
      <c r="G23" s="166"/>
      <c r="H23" s="166"/>
      <c r="I23" s="166"/>
      <c r="J23" s="166"/>
      <c r="K23" s="166"/>
      <c r="L23" s="166"/>
      <c r="M23" s="166"/>
    </row>
  </sheetData>
  <dataConsolidate/>
  <mergeCells count="12">
    <mergeCell ref="B2:B3"/>
    <mergeCell ref="D2:D3"/>
    <mergeCell ref="E2:E3"/>
    <mergeCell ref="F2:F3"/>
    <mergeCell ref="G2:G3"/>
    <mergeCell ref="I17:I19"/>
    <mergeCell ref="I12:I13"/>
    <mergeCell ref="H2:H3"/>
    <mergeCell ref="I2:I3"/>
    <mergeCell ref="K11:M12"/>
    <mergeCell ref="K2:M3"/>
    <mergeCell ref="E8:I10"/>
  </mergeCells>
  <conditionalFormatting sqref="I4">
    <cfRule type="cellIs" dxfId="90" priority="1" operator="greaterThan">
      <formula>7200</formula>
    </cfRule>
    <cfRule type="cellIs" dxfId="89" priority="2" operator="between">
      <formula>1200</formula>
      <formula>7200</formula>
    </cfRule>
    <cfRule type="cellIs" dxfId="88" priority="3" operator="between">
      <formula>960</formula>
      <formula>1200</formula>
    </cfRule>
  </conditionalFormatting>
  <dataValidations count="16">
    <dataValidation type="whole" operator="greaterThanOrEqual" allowBlank="1" showInputMessage="1" showErrorMessage="1" sqref="B4">
      <formula1>1</formula1>
    </dataValidation>
    <dataValidation type="decimal" errorStyle="information" operator="greaterThanOrEqual" allowBlank="1" showInputMessage="1" showErrorMessage="1" errorTitle="Whoops" error="Try a not negative number!" sqref="D4:F4">
      <formula1>0</formula1>
    </dataValidation>
    <dataValidation allowBlank="1" showInputMessage="1" showErrorMessage="1" promptTitle="Number of Modules" prompt="If you put two modules in a beacon only count it as one; beacons have .5 distribution efficency. " sqref="K5"/>
    <dataValidation allowBlank="1" showInputMessage="1" showErrorMessage="1" promptTitle="Number of Modules" prompt="Some designs have varing module numbers because of beacon placement. Just take the average!" sqref="K7"/>
    <dataValidation allowBlank="1" showInputMessage="1" showErrorMessage="1" promptTitle="Example" prompt="If you have a repeating pattern of chemical plants, where in every three plants two are covered by 4 beacons, and one is covered by 3 the number of modules you would input is 3.66 ((4*2 + 3*1)/(2+1))" sqref="M7"/>
    <dataValidation allowBlank="1" showInputMessage="1" showErrorMessage="1" promptTitle="Example" prompt="You have a level 3 assembly machine with four Productivity modules in it, affected by two beacons with two Speed modules each. The # Speed is 2 and # Productivity is 4." sqref="M5"/>
    <dataValidation allowBlank="1" showInputMessage="1" showErrorMessage="1" promptTitle="Energy Saving" prompt="This yellow means it uses enough energy that you can save energy by using one beacon with two Efficency 3 modules in it." sqref="K14"/>
    <dataValidation allowBlank="1" showInputMessage="1" showErrorMessage="1" promptTitle="Example" prompt="An assembly machine using 1130kw of energy, reduced by 50% using a beacon with two Efficency 3 modules in it, will save 565kw of energy. A beacon takes 480kw to power no matter what, so you save 85kw." sqref="M14"/>
    <dataValidation allowBlank="1" showInputMessage="1" showErrorMessage="1" promptTitle="Energy Saving" prompt="This orange means it uses even more energy, and that you should use two beacons with Efficency 2 modules in them." sqref="K16"/>
    <dataValidation allowBlank="1" showInputMessage="1" showErrorMessage="1" promptTitle="Example" prompt="A plain rocket silo uses 4000kw. By putting it in range of two beacons both with two Efficency 2 modules, you can reduce that by 80% for the cost of 960kw - each beacon takes 480kw to power. So you save 2240kw." sqref="M16"/>
    <dataValidation allowBlank="1" showInputMessage="1" showErrorMessage="1" promptTitle="Solar Power" prompt="Took these solar ratios from the wiki, just so you have an idea of the space you might need at the end of it all if you're going the solar route." sqref="K22"/>
    <dataValidation allowBlank="1" showInputMessage="1" showErrorMessage="1" promptTitle="Module Type" prompt="Decrease inputs needed by using Productivity. Decrease assembly machines (or chem. plants, etc.) needed with Speed. If you aren't worried about either save energy with Efficency." sqref="K9"/>
    <dataValidation allowBlank="1" showInputMessage="1" showErrorMessage="1" promptTitle="Example" prompt="Play around with the Module #'s on this dashboard, look how the Raw Resources and energy change. Productivity here will save tons of everything used, and you can use some Speed if you want more frequent rocket launches. But silo takes A LOT of energy!" sqref="M9"/>
    <dataValidation allowBlank="1" showInputMessage="1" showErrorMessage="1" promptTitle="Energy Saving" prompt="Whatever this is it's using more than 7200kw of energy, so if you wanted you could get away with 3 beacons full of Efficency 1 Modules. " sqref="K18"/>
    <dataValidation allowBlank="1" showInputMessage="1" showErrorMessage="1" promptTitle="Example" prompt="Using 3 beacons with Efficency 1 modules instead of 2 beacons with Efficency 2 saves 1225 iron, 670 copper, and 220 plastic, but you will lose out on 480kw energy savings. " sqref="M18"/>
    <dataValidation allowBlank="1" showInputMessage="1" showErrorMessage="1" promptTitle="Rocket Silo" prompt="The most beacons that will fit around the Rocket Silo is 20, which means 24 modules affecting it. I would recommend using all of them." sqref="K20"/>
  </dataValidations>
  <pageMargins left="0.7" right="0.7" top="0.75" bottom="0.75" header="0.3" footer="0.3"/>
  <pageSetup orientation="portrait" r:id="rId1"/>
  <drawing r:id="rId2"/>
  <extLst>
    <ext xmlns:x14="http://schemas.microsoft.com/office/spreadsheetml/2009/9/main" uri="{CCE6A557-97BC-4b89-ADB6-D9C93CAAB3DF}">
      <x14:dataValidations xmlns:xm="http://schemas.microsoft.com/office/excel/2006/main" count="4">
        <x14:dataValidation type="list" allowBlank="1" showInputMessage="1" showErrorMessage="1">
          <x14:formula1>
            <xm:f>DataTables!$B$3:$B$6</xm:f>
          </x14:formula1>
          <xm:sqref>C4</xm:sqref>
        </x14:dataValidation>
        <x14:dataValidation type="list" allowBlank="1" showInputMessage="1" showErrorMessage="1">
          <x14:formula1>
            <xm:f>DataTables!$B$3:$B$5</xm:f>
          </x14:formula1>
          <xm:sqref>C8</xm:sqref>
        </x14:dataValidation>
        <x14:dataValidation type="list" allowBlank="1" showInputMessage="1" showErrorMessage="1">
          <x14:formula1>
            <xm:f>DataTables!$B$9:$B$11</xm:f>
          </x14:formula1>
          <xm:sqref>C9</xm:sqref>
        </x14:dataValidation>
        <x14:dataValidation type="list" allowBlank="1" showInputMessage="1" showErrorMessage="1">
          <x14:formula1>
            <xm:f>DataTables!$B$15:$B$17</xm:f>
          </x14:formula1>
          <xm:sqref>C10</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Q25"/>
  <sheetViews>
    <sheetView workbookViewId="0">
      <selection activeCell="F10" sqref="F10"/>
    </sheetView>
  </sheetViews>
  <sheetFormatPr defaultRowHeight="14.4" x14ac:dyDescent="0.3"/>
  <cols>
    <col min="1" max="1" width="5.77734375" style="10" customWidth="1"/>
    <col min="2" max="2" width="20.77734375" style="10" customWidth="1"/>
    <col min="3" max="3" width="10.77734375" style="10" customWidth="1"/>
    <col min="4" max="4" width="2.77734375" style="10" customWidth="1"/>
    <col min="5" max="5" width="10.77734375" style="10" customWidth="1"/>
    <col min="6" max="8" width="13.77734375" style="10" customWidth="1"/>
    <col min="9" max="11" width="12.77734375" style="10" customWidth="1"/>
    <col min="12" max="14" width="10.77734375" style="10" customWidth="1"/>
    <col min="15" max="16" width="8.77734375" style="10" customWidth="1"/>
    <col min="17" max="17" width="10.77734375" style="10" customWidth="1"/>
    <col min="18" max="16384" width="8.88671875" style="10"/>
  </cols>
  <sheetData>
    <row r="1" spans="2:17" ht="15" thickBot="1" x14ac:dyDescent="0.35"/>
    <row r="2" spans="2:17" ht="30" customHeight="1" thickBot="1" x14ac:dyDescent="0.35">
      <c r="B2" s="8" t="s">
        <v>92</v>
      </c>
      <c r="C2" s="99" t="s">
        <v>89</v>
      </c>
      <c r="D2" s="71"/>
      <c r="E2" s="74" t="s">
        <v>9</v>
      </c>
      <c r="F2" s="179"/>
      <c r="G2" s="65" t="s">
        <v>12</v>
      </c>
      <c r="H2" s="64" t="s">
        <v>31</v>
      </c>
      <c r="I2" s="32" t="s">
        <v>11</v>
      </c>
      <c r="J2" s="65" t="s">
        <v>14</v>
      </c>
      <c r="K2" s="64" t="s">
        <v>19</v>
      </c>
      <c r="L2" s="32" t="s">
        <v>7</v>
      </c>
      <c r="M2" s="65" t="s">
        <v>8</v>
      </c>
      <c r="N2" s="111" t="s">
        <v>20</v>
      </c>
      <c r="O2" s="65" t="s">
        <v>42</v>
      </c>
      <c r="P2" s="65" t="s">
        <v>43</v>
      </c>
      <c r="Q2" s="88" t="s">
        <v>94</v>
      </c>
    </row>
    <row r="3" spans="2:17" ht="15" thickBot="1" x14ac:dyDescent="0.35">
      <c r="D3" s="72"/>
      <c r="E3" s="75" t="s">
        <v>24</v>
      </c>
      <c r="F3" s="106"/>
      <c r="G3" s="148" t="s">
        <v>33</v>
      </c>
      <c r="H3" s="149" t="s">
        <v>33</v>
      </c>
      <c r="I3" s="150">
        <v>0</v>
      </c>
      <c r="J3" s="148">
        <v>0</v>
      </c>
      <c r="K3" s="149">
        <v>0</v>
      </c>
      <c r="L3" s="43">
        <f>(VLOOKUP(H3,DataTables!B8:D12,2,FALSE)*((1+I3*VLOOKUP(G3,DataTables!B2:G6,2,FALSE))-(J3*0.15)))</f>
        <v>1.25</v>
      </c>
      <c r="M3" s="4">
        <f>1*(1+J3*VLOOKUP(G3,DataTables!$B$2:$G$6,4,FALSE))</f>
        <v>1</v>
      </c>
      <c r="N3" s="185">
        <f>VLOOKUP(H3,DataTables!$B$9:$D$12,3,FALSE)*(1+IF((I3*VLOOKUP(G3,DataTables!$B$2:$G$6,3,FALSE)+J3*VLOOKUP(G3,DataTables!$B$2:$G$6,5,FALSE)-K3*VLOOKUP(G3,DataTables!$B$2:$G$6,6))&lt;-0.8,-0.8,(I3*VLOOKUP(G3,DataTables!$B$2:$G$6,3,FALSE)+J3*VLOOKUP(G3,DataTables!$B$2:$G$6,5,FALSE)-K3*VLOOKUP(G3,DataTables!$B$2:$G$6,6))))</f>
        <v>210</v>
      </c>
      <c r="O3" s="70">
        <f>P3*L3</f>
        <v>4.1666666666666666E-3</v>
      </c>
      <c r="P3" s="70">
        <f>1/Dashboard!C6</f>
        <v>3.3333333333333335E-3</v>
      </c>
      <c r="Q3" s="135">
        <v>1</v>
      </c>
    </row>
    <row r="4" spans="2:17" x14ac:dyDescent="0.3">
      <c r="B4" s="97" t="s">
        <v>25</v>
      </c>
      <c r="C4" s="61"/>
      <c r="D4" s="73"/>
      <c r="E4" s="75" t="s">
        <v>25</v>
      </c>
      <c r="F4" s="106"/>
      <c r="G4" s="148" t="s">
        <v>33</v>
      </c>
      <c r="H4" s="149" t="s">
        <v>33</v>
      </c>
      <c r="I4" s="150">
        <v>0</v>
      </c>
      <c r="J4" s="148">
        <v>0</v>
      </c>
      <c r="K4" s="149">
        <v>0</v>
      </c>
      <c r="L4" s="43">
        <f>(VLOOKUP(H4,DataTables!$B$8:$D$12,2,FALSE)*((1+I4*VLOOKUP(G4,DataTables!$B$2:$G$6,2,FALSE))-(J4*0.15)))</f>
        <v>1.25</v>
      </c>
      <c r="M4" s="4">
        <f>1*(1+J4*VLOOKUP(G4,DataTables!$B$2:$G$6,4,FALSE))</f>
        <v>1</v>
      </c>
      <c r="N4" s="44">
        <f>VLOOKUP(H4,DataTables!$B$9:$D$12,3,FALSE)*(1+IF((I4*VLOOKUP(G4,DataTables!$B$2:$G$6,3,FALSE)+J4*VLOOKUP(G4,DataTables!$B$2:$G$6,5,FALSE)-K4*VLOOKUP(G4,DataTables!$B$2:$G$6,6))&lt;-0.8,-0.8,(I4*VLOOKUP(G4,DataTables!$B$2:$G$6,3,FALSE)+J4*VLOOKUP(G4,DataTables!$B$2:$G$6,5,FALSE)-K4*VLOOKUP(G4,DataTables!$B$2:$G$6,6))))</f>
        <v>210</v>
      </c>
      <c r="O4" s="70">
        <f>P4/(L4*M4)</f>
        <v>2.9333333333333331</v>
      </c>
      <c r="P4" s="70">
        <f>((100/Dashboard!H4)*10+100)/Dashboard!C6</f>
        <v>3.6666666666666665</v>
      </c>
      <c r="Q4" s="135">
        <f>CEILING(O4*30,1)</f>
        <v>88</v>
      </c>
    </row>
    <row r="5" spans="2:17" x14ac:dyDescent="0.3">
      <c r="B5" s="89" t="s">
        <v>18</v>
      </c>
      <c r="C5" s="49">
        <f>O4*10</f>
        <v>29.333333333333332</v>
      </c>
      <c r="D5" s="73"/>
      <c r="E5" s="75" t="s">
        <v>26</v>
      </c>
      <c r="F5" s="106"/>
      <c r="G5" s="148" t="s">
        <v>33</v>
      </c>
      <c r="H5" s="149" t="s">
        <v>33</v>
      </c>
      <c r="I5" s="150">
        <v>0</v>
      </c>
      <c r="J5" s="148">
        <v>0</v>
      </c>
      <c r="K5" s="149">
        <v>0</v>
      </c>
      <c r="L5" s="43">
        <f>(VLOOKUP(H5,DataTables!$B$8:$D$12,2,FALSE)*((1+I5*VLOOKUP(G5,DataTables!$B$2:$G$6,2,FALSE))-(J5*0.15)))</f>
        <v>1.25</v>
      </c>
      <c r="M5" s="4">
        <f>1*(1+J5*VLOOKUP(G5,DataTables!$B$2:$G$6,4,FALSE))</f>
        <v>1</v>
      </c>
      <c r="N5" s="44">
        <f>VLOOKUP(H5,DataTables!$B$9:$D$12,3,FALSE)*(1+IF((I5*VLOOKUP(G5,DataTables!$B$2:$G$6,3,FALSE)+J5*VLOOKUP(G5,DataTables!$B$2:$G$6,5,FALSE)-K5*VLOOKUP(G5,DataTables!$B$2:$G$6,6))&lt;-0.8,-0.8,(I5*VLOOKUP(G5,DataTables!$B$2:$G$6,3,FALSE)+J5*VLOOKUP(G5,DataTables!$B$2:$G$6,5,FALSE)-K5*VLOOKUP(G5,DataTables!$B$2:$G$6,6))))</f>
        <v>210</v>
      </c>
      <c r="O5" s="70">
        <f>P5/(L5*M5)</f>
        <v>2.8</v>
      </c>
      <c r="P5" s="70">
        <f>((100/Dashboard!H4)*10+50)/Dashboard!C6</f>
        <v>3.5</v>
      </c>
      <c r="Q5" s="135">
        <f>CEILING(O5*30,1)</f>
        <v>84</v>
      </c>
    </row>
    <row r="6" spans="2:17" ht="15" thickBot="1" x14ac:dyDescent="0.35">
      <c r="B6" s="89" t="s">
        <v>17</v>
      </c>
      <c r="C6" s="49">
        <f>O4*5</f>
        <v>14.666666666666666</v>
      </c>
      <c r="D6" s="73"/>
      <c r="E6" s="76" t="s">
        <v>27</v>
      </c>
      <c r="F6" s="107"/>
      <c r="G6" s="143" t="s">
        <v>33</v>
      </c>
      <c r="H6" s="144" t="s">
        <v>33</v>
      </c>
      <c r="I6" s="142">
        <v>0</v>
      </c>
      <c r="J6" s="143">
        <v>0</v>
      </c>
      <c r="K6" s="144">
        <v>0</v>
      </c>
      <c r="L6" s="67">
        <f>(VLOOKUP(H6,DataTables!$B$8:$D$12,2,FALSE)*((1+I6*VLOOKUP(G6,DataTables!$B$2:$G$6,2,FALSE))-(J6*0.15)))</f>
        <v>1.25</v>
      </c>
      <c r="M6" s="68">
        <f>1*(1+J6*VLOOKUP(G6,DataTables!$B$2:$G$6,4,FALSE))</f>
        <v>1</v>
      </c>
      <c r="N6" s="69">
        <f>VLOOKUP(H6,DataTables!$B$9:$D$12,3,FALSE)*(1+IF((I6*VLOOKUP(G6,DataTables!$B$2:$G$6,3,FALSE)+J6*VLOOKUP(G6,DataTables!$B$2:$G$6,5,FALSE)-K6*VLOOKUP(G6,DataTables!$B$2:$G$6,6))&lt;-0.8,-0.8,(I6*VLOOKUP(G6,DataTables!$B$2:$G$6,3,FALSE)+J6*VLOOKUP(G6,DataTables!$B$2:$G$6,5,FALSE)-K6*VLOOKUP(G6,DataTables!$B$2:$G$6,6))))</f>
        <v>210</v>
      </c>
      <c r="O6" s="5">
        <f>P6/(L6*M6)</f>
        <v>2.666666666666667</v>
      </c>
      <c r="P6" s="5">
        <f>((100/Dashboard!H4)*10)/Dashboard!C6</f>
        <v>3.3333333333333335</v>
      </c>
      <c r="Q6" s="136">
        <f>CEILING(O6*30,1)</f>
        <v>80</v>
      </c>
    </row>
    <row r="7" spans="2:17" ht="15" thickBot="1" x14ac:dyDescent="0.35">
      <c r="B7" s="90" t="s">
        <v>2</v>
      </c>
      <c r="C7" s="6">
        <f>O4*5</f>
        <v>14.666666666666666</v>
      </c>
      <c r="D7" s="73"/>
    </row>
    <row r="8" spans="2:17" ht="15" customHeight="1" thickBot="1" x14ac:dyDescent="0.35">
      <c r="D8" s="73"/>
      <c r="E8" s="11" t="s">
        <v>82</v>
      </c>
      <c r="F8" s="15" t="s">
        <v>16</v>
      </c>
      <c r="G8" s="15" t="s">
        <v>17</v>
      </c>
      <c r="H8" s="16" t="s">
        <v>2</v>
      </c>
      <c r="O8" s="217" t="s">
        <v>95</v>
      </c>
      <c r="P8" s="217"/>
      <c r="Q8" s="217"/>
    </row>
    <row r="9" spans="2:17" ht="15" thickBot="1" x14ac:dyDescent="0.35">
      <c r="B9" s="97" t="s">
        <v>26</v>
      </c>
      <c r="C9" s="62"/>
      <c r="D9" s="73"/>
      <c r="E9" s="12" t="s">
        <v>93</v>
      </c>
      <c r="F9" s="83">
        <f>I3*VLOOKUP(G3,DataTables!$B$2:$N$6,8,FALSE)+I4*VLOOKUP(G4,DataTables!$B$2:$N$6,8,FALSE)+I5*VLOOKUP(G5,DataTables!$B$2:$N$6,8,FALSE)+I6*VLOOKUP(G6,DataTables!$B$2:$N$6,8,FALSE)+(J3+K3)*VLOOKUP(G3,DataTables!$B$2:$N$6,11,FALSE)+(J4+K4)*VLOOKUP(G4,DataTables!$B$2:$N$6,11,FALSE)+(J5+K5)*VLOOKUP(G5,DataTables!$B$2:$N$6,11,FALSE)+(J6+K6)*VLOOKUP(G6,DataTables!$B$2:$N$6,11,FALSE)</f>
        <v>0</v>
      </c>
      <c r="G9" s="83">
        <f>I3*VLOOKUP(G3,DataTables!$B$2:$N$6,9,FALSE)+I4*VLOOKUP(G4,DataTables!$B$2:$N$6,9,FALSE)+I5*VLOOKUP(G5,DataTables!$B$2:$N$6,9,FALSE)+I6*VLOOKUP(G6,DataTables!$B$2:$N$6,9,FALSE)+(J3+K3)*VLOOKUP(G3,DataTables!$B$2:$N$6,12,FALSE)+(J4+K4)*VLOOKUP(G4,DataTables!$B$2:$N$6,12,FALSE)+(J5+K5)*VLOOKUP(G5,DataTables!$B$2:$N$6,12,FALSE)+(J6+K6)*VLOOKUP(G6,DataTables!$B$2:$N$6,12,FALSE)</f>
        <v>0</v>
      </c>
      <c r="H9" s="58">
        <f>I3*VLOOKUP(G3,DataTables!$B$2:$N$6,10,FALSE)+I4*VLOOKUP(G4,DataTables!$B$2:$N$6,10,FALSE)+I5*VLOOKUP(G5,DataTables!$B$2:$N$6,10,FALSE)+I6*VLOOKUP(G6,DataTables!$B$2:$N$6,10,FALSE)+(J3+K3)*VLOOKUP(G3,DataTables!$B$2:$N$6,13,FALSE)+(J4+K4)*VLOOKUP(G4,DataTables!$B$2:$N$6,13,FALSE)+(J5+K5)*VLOOKUP(G5,DataTables!$B$2:$N$6,13,FALSE)+(J6+K6)*VLOOKUP(G6,DataTables!$B$2:$N$6,13,FALSE)</f>
        <v>0</v>
      </c>
      <c r="O9" s="217"/>
      <c r="P9" s="217"/>
      <c r="Q9" s="217"/>
    </row>
    <row r="10" spans="2:17" ht="15" thickBot="1" x14ac:dyDescent="0.35">
      <c r="B10" s="90" t="s">
        <v>38</v>
      </c>
      <c r="C10" s="6">
        <f>O5*10</f>
        <v>28</v>
      </c>
      <c r="D10" s="73"/>
      <c r="O10" s="140"/>
      <c r="P10" s="140"/>
      <c r="Q10" s="140"/>
    </row>
    <row r="11" spans="2:17" ht="15" thickBot="1" x14ac:dyDescent="0.35">
      <c r="D11" s="73"/>
      <c r="E11" s="11" t="s">
        <v>83</v>
      </c>
      <c r="F11" s="15" t="s">
        <v>16</v>
      </c>
      <c r="G11" s="15" t="s">
        <v>17</v>
      </c>
      <c r="H11" s="16" t="s">
        <v>2</v>
      </c>
    </row>
    <row r="12" spans="2:17" ht="15" thickBot="1" x14ac:dyDescent="0.35">
      <c r="B12" s="97" t="s">
        <v>39</v>
      </c>
      <c r="C12" s="62"/>
      <c r="E12" s="81" t="s">
        <v>93</v>
      </c>
      <c r="F12" s="83">
        <f>Q3*VLOOKUP(H3,DataTables!$B$8:$H$12,5,FALSE)+Q4*VLOOKUP(H4,DataTables!$B$8:$H$12,5,FALSE)+Q5*VLOOKUP(H5,DataTables!$B$8:$H$12,5,FALSE)+Q6*VLOOKUP(H6,DataTables!$B$8:$H$12,5,FALSE)</f>
        <v>37444</v>
      </c>
      <c r="G12" s="83">
        <f>Q3*VLOOKUP(H3,DataTables!$B$8:$H$12,6,FALSE)+Q4*VLOOKUP(H4,DataTables!$B$8:$H$12,6,FALSE)+Q5*VLOOKUP(H5,DataTables!$B$8:$H$12,6,FALSE)+Q6*VLOOKUP(H6,DataTables!$B$8:$H$12,6,FALSE)</f>
        <v>37444</v>
      </c>
      <c r="H12" s="58">
        <f>Q3*VLOOKUP(H3,DataTables!$B$8:$H$12,7,FALSE)+Q4*VLOOKUP(H4,DataTables!$B$8:$H$12,7,FALSE)+Q5*VLOOKUP(H5,DataTables!$B$8:$H$12,7,FALSE)+Q6*VLOOKUP(H6,DataTables!$B$8:$H$12,7,FALSE)</f>
        <v>10120</v>
      </c>
    </row>
    <row r="13" spans="2:17" x14ac:dyDescent="0.3">
      <c r="B13" s="89" t="s">
        <v>40</v>
      </c>
      <c r="C13" s="49">
        <f>O6</f>
        <v>2.666666666666667</v>
      </c>
      <c r="D13" s="71"/>
    </row>
    <row r="14" spans="2:17" ht="15" thickBot="1" x14ac:dyDescent="0.35">
      <c r="B14" s="90" t="s">
        <v>41</v>
      </c>
      <c r="C14" s="6">
        <f>O6</f>
        <v>2.666666666666667</v>
      </c>
      <c r="D14" s="26"/>
    </row>
    <row r="15" spans="2:17" ht="15" thickBot="1" x14ac:dyDescent="0.35">
      <c r="D15" s="26"/>
    </row>
    <row r="16" spans="2:17" x14ac:dyDescent="0.3">
      <c r="B16" s="97" t="s">
        <v>96</v>
      </c>
      <c r="C16" s="98"/>
      <c r="D16" s="26"/>
    </row>
    <row r="17" spans="2:4" x14ac:dyDescent="0.3">
      <c r="B17" s="89" t="s">
        <v>34</v>
      </c>
      <c r="C17" s="47">
        <f>100/(Dashboard!$C$6-3)</f>
        <v>0.33670033670033672</v>
      </c>
      <c r="D17" s="26"/>
    </row>
    <row r="18" spans="2:4" x14ac:dyDescent="0.3">
      <c r="B18" s="89" t="s">
        <v>35</v>
      </c>
      <c r="C18" s="47">
        <f>100/(Dashboard!$C$6-3)</f>
        <v>0.33670033670033672</v>
      </c>
    </row>
    <row r="19" spans="2:4" x14ac:dyDescent="0.3">
      <c r="B19" s="89" t="s">
        <v>36</v>
      </c>
      <c r="C19" s="47">
        <f>5/(Dashboard!$C$6-3)</f>
        <v>1.6835016835016835E-2</v>
      </c>
      <c r="D19" s="52"/>
    </row>
    <row r="20" spans="2:4" ht="15" thickBot="1" x14ac:dyDescent="0.35">
      <c r="B20" s="90" t="s">
        <v>37</v>
      </c>
      <c r="C20" s="48">
        <f>100/(Dashboard!$C$6-3)</f>
        <v>0.33670033670033672</v>
      </c>
      <c r="D20" s="52"/>
    </row>
    <row r="21" spans="2:4" ht="15" thickBot="1" x14ac:dyDescent="0.35"/>
    <row r="22" spans="2:4" x14ac:dyDescent="0.3">
      <c r="B22" s="45" t="s">
        <v>73</v>
      </c>
      <c r="C22" s="59">
        <f>N3*Q3+N4*Q4+N5*Q5+N6*Q6</f>
        <v>53130</v>
      </c>
    </row>
    <row r="23" spans="2:4" ht="15" thickBot="1" x14ac:dyDescent="0.35">
      <c r="B23" s="50" t="s">
        <v>74</v>
      </c>
      <c r="C23" s="60">
        <f>IF(N3&lt;960,N3,IF(N3&lt;1200,N3*0.5,N3*0.2))*Q3+IF(N4&lt;960,N4,IF(N4&lt;1200,N4*0.5,N4*0.2))*Q4+IF(N5&lt;960,N5,IF(N5&lt;1200,N5*0.5,N5*0.2))*Q5+IF(N6&lt;960,N6,IF(N6&lt;1200,N6*0.5,N6*0.2))*Q6</f>
        <v>53130</v>
      </c>
    </row>
    <row r="25" spans="2:4" x14ac:dyDescent="0.3">
      <c r="B25" s="31" t="s">
        <v>97</v>
      </c>
    </row>
  </sheetData>
  <mergeCells count="1">
    <mergeCell ref="O8:Q9"/>
  </mergeCells>
  <conditionalFormatting sqref="N3:N6">
    <cfRule type="cellIs" dxfId="87" priority="1" operator="greaterThan">
      <formula>7200</formula>
    </cfRule>
    <cfRule type="cellIs" dxfId="86" priority="2" operator="between">
      <formula>1200</formula>
      <formula>7200</formula>
    </cfRule>
    <cfRule type="cellIs" dxfId="85" priority="3" operator="between">
      <formula>960</formula>
      <formula>1200</formula>
    </cfRule>
  </conditionalFormatting>
  <dataValidations count="1">
    <dataValidation type="decimal" errorStyle="information" operator="greaterThanOrEqual" allowBlank="1" showInputMessage="1" showErrorMessage="1" errorTitle="Whoops" error="Try a not negative number!" sqref="I3:K6">
      <formula1>0</formula1>
    </dataValidation>
  </dataValidations>
  <pageMargins left="0.7" right="0.7" top="0.75" bottom="0.75" header="0.3" footer="0.3"/>
  <pageSetup orientation="portrait" r:id="rId1"/>
  <ignoredErrors>
    <ignoredError sqref="C19" formula="1"/>
  </ignoredErrors>
  <extLst>
    <ext xmlns:x14="http://schemas.microsoft.com/office/spreadsheetml/2009/9/main" uri="{CCE6A557-97BC-4b89-ADB6-D9C93CAAB3DF}">
      <x14:dataValidations xmlns:xm="http://schemas.microsoft.com/office/excel/2006/main" count="2">
        <x14:dataValidation type="list" allowBlank="1" showInputMessage="1" showErrorMessage="1">
          <x14:formula1>
            <xm:f>DataTables!$B$3:$B$6</xm:f>
          </x14:formula1>
          <xm:sqref>G3:G6</xm:sqref>
        </x14:dataValidation>
        <x14:dataValidation type="list" allowBlank="1" showInputMessage="1" showErrorMessage="1">
          <x14:formula1>
            <xm:f>DataTables!$B$9:$B$12</xm:f>
          </x14:formula1>
          <xm:sqref>H3:H6</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Q24"/>
  <sheetViews>
    <sheetView workbookViewId="0">
      <selection activeCell="L10" sqref="L10"/>
    </sheetView>
  </sheetViews>
  <sheetFormatPr defaultRowHeight="14.4" x14ac:dyDescent="0.3"/>
  <cols>
    <col min="1" max="1" width="5.77734375" style="10" customWidth="1"/>
    <col min="2" max="2" width="20.77734375" style="10" customWidth="1"/>
    <col min="3" max="3" width="10.77734375" style="10" customWidth="1"/>
    <col min="4" max="4" width="2.77734375" style="10" customWidth="1"/>
    <col min="5" max="5" width="10.77734375" style="10" customWidth="1"/>
    <col min="6" max="8" width="13.77734375" style="10" customWidth="1"/>
    <col min="9" max="11" width="12.77734375" style="10" customWidth="1"/>
    <col min="12" max="14" width="10.77734375" style="10" customWidth="1"/>
    <col min="15" max="16" width="8.77734375" style="10" customWidth="1"/>
    <col min="17" max="17" width="10.77734375" style="10" customWidth="1"/>
    <col min="18" max="16384" width="8.88671875" style="10"/>
  </cols>
  <sheetData>
    <row r="1" spans="2:17" ht="15" thickBot="1" x14ac:dyDescent="0.35"/>
    <row r="2" spans="2:17" ht="30" customHeight="1" thickBot="1" x14ac:dyDescent="0.35">
      <c r="B2" s="8" t="s">
        <v>91</v>
      </c>
      <c r="C2" s="100" t="s">
        <v>89</v>
      </c>
      <c r="E2" s="130" t="s">
        <v>9</v>
      </c>
      <c r="F2" s="179"/>
      <c r="G2" s="32" t="s">
        <v>12</v>
      </c>
      <c r="H2" s="64" t="s">
        <v>31</v>
      </c>
      <c r="I2" s="33" t="s">
        <v>11</v>
      </c>
      <c r="J2" s="34" t="s">
        <v>14</v>
      </c>
      <c r="K2" s="34" t="s">
        <v>19</v>
      </c>
      <c r="L2" s="33" t="s">
        <v>7</v>
      </c>
      <c r="M2" s="34" t="s">
        <v>8</v>
      </c>
      <c r="N2" s="35" t="s">
        <v>20</v>
      </c>
      <c r="O2" s="32" t="s">
        <v>42</v>
      </c>
      <c r="P2" s="64" t="s">
        <v>43</v>
      </c>
      <c r="Q2" s="66" t="s">
        <v>44</v>
      </c>
    </row>
    <row r="3" spans="2:17" ht="15" thickBot="1" x14ac:dyDescent="0.35">
      <c r="E3" s="75" t="s">
        <v>34</v>
      </c>
      <c r="F3" s="75"/>
      <c r="G3" s="150" t="s">
        <v>33</v>
      </c>
      <c r="H3" s="149" t="s">
        <v>33</v>
      </c>
      <c r="I3" s="150">
        <v>0</v>
      </c>
      <c r="J3" s="148">
        <v>0</v>
      </c>
      <c r="K3" s="148">
        <v>0</v>
      </c>
      <c r="L3" s="43">
        <f>(VLOOKUP(H3,DataTables!$B$8:$D$12,2,FALSE)*((1+I3*VLOOKUP(G3,DataTables!$B$2:$G$6,2,FALSE))-(J3*0.15)))</f>
        <v>1.25</v>
      </c>
      <c r="M3" s="4">
        <f>1*(1+J3*VLOOKUP(G3,DataTables!$B$2:$G$6,4,FALSE))</f>
        <v>1</v>
      </c>
      <c r="N3" s="185">
        <f>VLOOKUP(H3,DataTables!$B$9:$D$12,3,FALSE)*(1+IF((I3*VLOOKUP(G3,DataTables!$B$2:$G$6,3,FALSE)+J3*VLOOKUP(G3,DataTables!$B$2:$G$6,5,FALSE)-K3*VLOOKUP(G3,DataTables!$B$2:$G$6,6))&lt;-0.8,-0.8,(I3*VLOOKUP(G3,DataTables!$B$2:$G$6,3,FALSE)+J3*VLOOKUP(G3,DataTables!$B$2:$G$6,5,FALSE)-K3*VLOOKUP(G3,DataTables!$B$2:$G$6,6))))</f>
        <v>210</v>
      </c>
      <c r="O3" s="93">
        <f>P3/(L3*M3)</f>
        <v>0.26936026936026936</v>
      </c>
      <c r="P3" s="94">
        <f>'Rocket Parts'!C17</f>
        <v>0.33670033670033672</v>
      </c>
      <c r="Q3" s="137">
        <f>CEILING(O3*10,1)</f>
        <v>3</v>
      </c>
    </row>
    <row r="4" spans="2:17" x14ac:dyDescent="0.3">
      <c r="B4" s="97" t="s">
        <v>34</v>
      </c>
      <c r="C4" s="98"/>
      <c r="E4" s="75" t="s">
        <v>45</v>
      </c>
      <c r="F4" s="75"/>
      <c r="G4" s="150" t="s">
        <v>33</v>
      </c>
      <c r="H4" s="149" t="s">
        <v>33</v>
      </c>
      <c r="I4" s="150">
        <v>0</v>
      </c>
      <c r="J4" s="148">
        <v>0</v>
      </c>
      <c r="K4" s="148">
        <v>0</v>
      </c>
      <c r="L4" s="43">
        <f>(VLOOKUP(H4,DataTables!$B$8:$D$12,2,FALSE)*((1+I4*VLOOKUP(G4,DataTables!$B$2:$G$6,2,FALSE))-(J4*0.15)))</f>
        <v>1.25</v>
      </c>
      <c r="M4" s="4">
        <f>1*(1+J4*VLOOKUP(G4,DataTables!$B$2:$G$6,4,FALSE))</f>
        <v>1</v>
      </c>
      <c r="N4" s="44">
        <f>VLOOKUP(H4,DataTables!$B$9:$D$12,3,FALSE)*(1+IF((I4*VLOOKUP(G4,DataTables!$B$2:$G$6,3,FALSE)+J4*VLOOKUP(G4,DataTables!$B$2:$G$6,5,FALSE)-K4*VLOOKUP(G4,DataTables!$B$2:$G$6,6))&lt;-0.8,-0.8,(I4*VLOOKUP(G4,DataTables!$B$2:$G$6,3,FALSE)+J4*VLOOKUP(G4,DataTables!$B$2:$G$6,5,FALSE)-K4*VLOOKUP(G4,DataTables!$B$2:$G$6,6))))</f>
        <v>210</v>
      </c>
      <c r="O4" s="70">
        <f>P4/(L4*M4)</f>
        <v>0.26936026936026936</v>
      </c>
      <c r="P4" s="94">
        <f>'Rocket Parts'!C18</f>
        <v>0.33670033670033672</v>
      </c>
      <c r="Q4" s="137">
        <f>CEILING(O4*10,1)</f>
        <v>3</v>
      </c>
    </row>
    <row r="5" spans="2:17" x14ac:dyDescent="0.3">
      <c r="B5" s="89" t="s">
        <v>18</v>
      </c>
      <c r="C5" s="49">
        <f>5*O3</f>
        <v>1.3468013468013469</v>
      </c>
      <c r="E5" s="75" t="s">
        <v>36</v>
      </c>
      <c r="F5" s="75"/>
      <c r="G5" s="150" t="s">
        <v>33</v>
      </c>
      <c r="H5" s="149" t="s">
        <v>33</v>
      </c>
      <c r="I5" s="150">
        <v>0</v>
      </c>
      <c r="J5" s="148">
        <v>0</v>
      </c>
      <c r="K5" s="148">
        <v>0</v>
      </c>
      <c r="L5" s="43">
        <f>(VLOOKUP(H5,DataTables!$B$8:$D$12,2,FALSE)*((1+I5*VLOOKUP(G5,DataTables!$B$2:$G$6,2,FALSE))-(J5*0.15)))</f>
        <v>1.25</v>
      </c>
      <c r="M5" s="4">
        <f>1*(1+J5*VLOOKUP(G5,DataTables!$B$2:$G$6,4,FALSE))</f>
        <v>1</v>
      </c>
      <c r="N5" s="44">
        <f>VLOOKUP(H5,DataTables!$B$9:$D$12,3,FALSE)*(1+IF((I5*VLOOKUP(G5,DataTables!$B$2:$G$6,3,FALSE)+J5*VLOOKUP(G5,DataTables!$B$2:$G$6,5,FALSE)-K5*VLOOKUP(G5,DataTables!$B$2:$G$6,6))&lt;-0.8,-0.8,(I5*VLOOKUP(G5,DataTables!$B$2:$G$6,3,FALSE)+J5*VLOOKUP(G5,DataTables!$B$2:$G$6,5,FALSE)-K5*VLOOKUP(G5,DataTables!$B$2:$G$6,6))))</f>
        <v>210</v>
      </c>
      <c r="O5" s="70">
        <f>P5/(L5*M5)</f>
        <v>1.3468013468013467E-2</v>
      </c>
      <c r="P5" s="94">
        <f>'Rocket Parts'!C19</f>
        <v>1.6835016835016835E-2</v>
      </c>
      <c r="Q5" s="137">
        <f>CEILING(O5*0.5,1)</f>
        <v>1</v>
      </c>
    </row>
    <row r="6" spans="2:17" ht="15" thickBot="1" x14ac:dyDescent="0.35">
      <c r="B6" s="89" t="s">
        <v>46</v>
      </c>
      <c r="C6" s="49">
        <f>15*O3</f>
        <v>4.0404040404040407</v>
      </c>
      <c r="E6" s="76" t="s">
        <v>49</v>
      </c>
      <c r="F6" s="76"/>
      <c r="G6" s="142" t="s">
        <v>33</v>
      </c>
      <c r="H6" s="144" t="s">
        <v>33</v>
      </c>
      <c r="I6" s="142">
        <v>0</v>
      </c>
      <c r="J6" s="143">
        <v>0</v>
      </c>
      <c r="K6" s="143">
        <v>0</v>
      </c>
      <c r="L6" s="67">
        <f>(VLOOKUP(H6,DataTables!$B$8:$D$12,2,FALSE)*((1+I6*VLOOKUP(G6,DataTables!$B$2:$G$6,2,FALSE))-(J6*0.15)))</f>
        <v>1.25</v>
      </c>
      <c r="M6" s="68">
        <f>1*(1+J6*VLOOKUP(G6,DataTables!$B$2:$G$6,4,FALSE))</f>
        <v>1</v>
      </c>
      <c r="N6" s="69">
        <f>VLOOKUP(H6,DataTables!$B$9:$D$12,3,FALSE)*(1+IF((I6*VLOOKUP(G6,DataTables!$B$2:$G$6,3,FALSE)+J6*VLOOKUP(G6,DataTables!$B$2:$G$6,5,FALSE)-K6*VLOOKUP(G6,DataTables!$B$2:$G$6,6))&lt;-0.8,-0.8,(I6*VLOOKUP(G6,DataTables!$B$2:$G$6,3,FALSE)+J6*VLOOKUP(G6,DataTables!$B$2:$G$6,5,FALSE)-K6*VLOOKUP(G6,DataTables!$B$2:$G$6,6))))</f>
        <v>210</v>
      </c>
      <c r="O6" s="5">
        <f>P6/(L6*M6)</f>
        <v>5.387205387205387E-2</v>
      </c>
      <c r="P6" s="96">
        <f>C16</f>
        <v>6.7340067340067339E-2</v>
      </c>
      <c r="Q6" s="138">
        <f>CEILING(O6*0.5,1)</f>
        <v>1</v>
      </c>
    </row>
    <row r="7" spans="2:17" ht="15" thickBot="1" x14ac:dyDescent="0.35">
      <c r="B7" s="90" t="s">
        <v>51</v>
      </c>
      <c r="C7" s="6">
        <f>5*O3</f>
        <v>1.3468013468013469</v>
      </c>
      <c r="N7" s="186"/>
    </row>
    <row r="8" spans="2:17" ht="15" thickBot="1" x14ac:dyDescent="0.35">
      <c r="E8" s="11" t="s">
        <v>82</v>
      </c>
      <c r="F8" s="7" t="s">
        <v>16</v>
      </c>
      <c r="G8" s="15" t="s">
        <v>17</v>
      </c>
      <c r="H8" s="16" t="s">
        <v>2</v>
      </c>
    </row>
    <row r="9" spans="2:17" ht="15" thickBot="1" x14ac:dyDescent="0.35">
      <c r="B9" s="97" t="s">
        <v>45</v>
      </c>
      <c r="C9" s="62"/>
      <c r="E9" s="12" t="s">
        <v>93</v>
      </c>
      <c r="F9" s="83">
        <f>I3*VLOOKUP(G3,DataTables!$B$2:$N$6,8,FALSE)+I4*VLOOKUP(G4,DataTables!$B$2:$N$6,8,FALSE)+I5*VLOOKUP(G5,DataTables!$B$2:$N$6,8,FALSE)+I6*VLOOKUP(G6,DataTables!$B$2:$N$6,8,FALSE)+(J3+K3)*VLOOKUP(G3,DataTables!$B$2:$N$6,11,FALSE)+(J4+K4)*VLOOKUP(G4,DataTables!$B$2:$N$6,11,FALSE)+(J5+K5)*VLOOKUP(G5,DataTables!$B$2:$N$6,11,FALSE)+(J6+K6)*VLOOKUP(G6,DataTables!$B$2:$N$6,11,FALSE)</f>
        <v>0</v>
      </c>
      <c r="G9" s="83">
        <f>I3*VLOOKUP(G3,DataTables!$B$2:$N$6,9,FALSE)+I4*VLOOKUP(G4,DataTables!$B$2:$N$6,9,FALSE)+I5*VLOOKUP(G5,DataTables!$B$2:$N$6,9,FALSE)+I6*VLOOKUP(G6,DataTables!$B$2:$N$6,9,FALSE)+(J3+K3)*VLOOKUP(G3,DataTables!$B$2:$N$6,12,FALSE)+(J4+K4)*VLOOKUP(G4,DataTables!$B$2:$N$6,12,FALSE)+(J5+K5)*VLOOKUP(G5,DataTables!$B$2:$N$6,12,FALSE)+(J6+K6)*VLOOKUP(G6,DataTables!$B$2:$N$6,12,FALSE)</f>
        <v>0</v>
      </c>
      <c r="H9" s="58">
        <f>I3*VLOOKUP(G3,DataTables!$B$2:$N$6,10,FALSE)+I4*VLOOKUP(G4,DataTables!$B$2:$N$6,10,FALSE)+I5*VLOOKUP(G5,DataTables!$B$2:$N$6,10,FALSE)+I6*VLOOKUP(G6,DataTables!$B$2:$N$6,10,FALSE)+(J3+K3)*VLOOKUP(G3,DataTables!$B$2:$N$6,13,FALSE)+(J4+K4)*VLOOKUP(G4,DataTables!$B$2:$N$6,13,FALSE)+(J5+K5)*VLOOKUP(G5,DataTables!$B$2:$N$6,13,FALSE)+(J6+K6)*VLOOKUP(G6,DataTables!$B$2:$N$6,13,FALSE)</f>
        <v>0</v>
      </c>
    </row>
    <row r="10" spans="2:17" ht="15" thickBot="1" x14ac:dyDescent="0.35">
      <c r="B10" s="89" t="s">
        <v>47</v>
      </c>
      <c r="C10" s="49">
        <f>2*O4</f>
        <v>0.53872053872053871</v>
      </c>
    </row>
    <row r="11" spans="2:17" ht="15" thickBot="1" x14ac:dyDescent="0.35">
      <c r="B11" s="90" t="s">
        <v>48</v>
      </c>
      <c r="C11" s="6">
        <f>5*O4</f>
        <v>1.3468013468013469</v>
      </c>
      <c r="E11" s="11" t="s">
        <v>83</v>
      </c>
      <c r="F11" s="7" t="s">
        <v>16</v>
      </c>
      <c r="G11" s="15" t="s">
        <v>17</v>
      </c>
      <c r="H11" s="16" t="s">
        <v>2</v>
      </c>
    </row>
    <row r="12" spans="2:17" ht="15" thickBot="1" x14ac:dyDescent="0.35">
      <c r="E12" s="12" t="s">
        <v>93</v>
      </c>
      <c r="F12" s="82">
        <f>Q3*VLOOKUP(H3,DataTables!$B$8:$H$12,5,FALSE)+Q4*VLOOKUP(H4,DataTables!$B$8:$H$12,5,FALSE)+Q5*VLOOKUP(H5,DataTables!$B$8:$H$12,5,FALSE)+Q6*VLOOKUP(H6,DataTables!$B$8:$H$12,5,FALSE)</f>
        <v>1184</v>
      </c>
      <c r="G12" s="82">
        <f>Q3*VLOOKUP(H3,DataTables!$B$8:$H$12,6,FALSE)+Q4*VLOOKUP(H4,DataTables!$B$8:$H$12,6,FALSE)+Q5*VLOOKUP(H5,DataTables!$B$8:$H$12,6,FALSE)+Q6*VLOOKUP(H6,DataTables!$B$8:$H$12,6,FALSE)</f>
        <v>1184</v>
      </c>
      <c r="H12" s="85">
        <f>Q3*VLOOKUP(H3,DataTables!$B$8:$H$12,7,FALSE)+Q4*VLOOKUP(H4,DataTables!$B$8:$H$12,7,FALSE)+Q5*VLOOKUP(H5,DataTables!$B$8:$H$12,7,FALSE)+Q6*VLOOKUP(H6,DataTables!$B$8:$H$12,7,FALSE)</f>
        <v>320</v>
      </c>
    </row>
    <row r="13" spans="2:17" x14ac:dyDescent="0.3">
      <c r="B13" s="97" t="s">
        <v>36</v>
      </c>
      <c r="C13" s="62"/>
    </row>
    <row r="14" spans="2:17" x14ac:dyDescent="0.3">
      <c r="B14" s="89" t="s">
        <v>46</v>
      </c>
      <c r="C14" s="49">
        <f>5*O5</f>
        <v>6.7340067340067339E-2</v>
      </c>
    </row>
    <row r="15" spans="2:17" x14ac:dyDescent="0.3">
      <c r="B15" s="89" t="s">
        <v>47</v>
      </c>
      <c r="C15" s="49">
        <f>10*O5</f>
        <v>0.13468013468013468</v>
      </c>
    </row>
    <row r="16" spans="2:17" ht="15" thickBot="1" x14ac:dyDescent="0.35">
      <c r="B16" s="90" t="s">
        <v>50</v>
      </c>
      <c r="C16" s="6">
        <f>5*O5</f>
        <v>6.7340067340067339E-2</v>
      </c>
    </row>
    <row r="17" spans="2:3" ht="15" thickBot="1" x14ac:dyDescent="0.35"/>
    <row r="18" spans="2:3" x14ac:dyDescent="0.3">
      <c r="B18" s="97" t="s">
        <v>50</v>
      </c>
      <c r="C18" s="62"/>
    </row>
    <row r="19" spans="2:3" ht="15" thickBot="1" x14ac:dyDescent="0.35">
      <c r="B19" s="90" t="s">
        <v>47</v>
      </c>
      <c r="C19" s="6">
        <f>2*O6</f>
        <v>0.10774410774410774</v>
      </c>
    </row>
    <row r="20" spans="2:3" ht="15" thickBot="1" x14ac:dyDescent="0.35"/>
    <row r="21" spans="2:3" x14ac:dyDescent="0.3">
      <c r="B21" s="86" t="s">
        <v>73</v>
      </c>
      <c r="C21" s="91">
        <f>N3*Q3+N4*Q4+N5*Q5+N6*Q6</f>
        <v>1680</v>
      </c>
    </row>
    <row r="22" spans="2:3" ht="15" thickBot="1" x14ac:dyDescent="0.35">
      <c r="B22" s="87" t="s">
        <v>74</v>
      </c>
      <c r="C22" s="92">
        <f>IF(N3&lt;960,N3,IF(N3&lt;1200,N3*0.5,N3*0.2))*Q3+IF(N4&lt;960,N4,IF(N4&lt;1200,N4*0.5,N4*0.2))*Q4+IF(N5&lt;960,N5,IF(N5&lt;1200,N5*0.5,N5*0.2))*Q5+IF(N6&lt;960,N6,IF(N6&lt;1200,N6*0.5,N6*0.2))*Q6</f>
        <v>1680</v>
      </c>
    </row>
    <row r="24" spans="2:3" x14ac:dyDescent="0.3">
      <c r="B24" s="31" t="s">
        <v>56</v>
      </c>
    </row>
  </sheetData>
  <conditionalFormatting sqref="N7">
    <cfRule type="cellIs" dxfId="84" priority="16" operator="greaterThan">
      <formula>7200</formula>
    </cfRule>
    <cfRule type="cellIs" dxfId="83" priority="17" operator="between">
      <formula>1200</formula>
      <formula>7200</formula>
    </cfRule>
    <cfRule type="cellIs" dxfId="82" priority="18" operator="between">
      <formula>960</formula>
      <formula>1200</formula>
    </cfRule>
  </conditionalFormatting>
  <conditionalFormatting sqref="N3">
    <cfRule type="cellIs" dxfId="81" priority="10" operator="greaterThan">
      <formula>7200</formula>
    </cfRule>
    <cfRule type="cellIs" dxfId="80" priority="11" operator="between">
      <formula>1200</formula>
      <formula>7200</formula>
    </cfRule>
    <cfRule type="cellIs" dxfId="79" priority="12" operator="between">
      <formula>960</formula>
      <formula>1200</formula>
    </cfRule>
  </conditionalFormatting>
  <conditionalFormatting sqref="N4">
    <cfRule type="cellIs" dxfId="78" priority="7" operator="greaterThan">
      <formula>7200</formula>
    </cfRule>
    <cfRule type="cellIs" dxfId="77" priority="8" operator="between">
      <formula>1200</formula>
      <formula>7200</formula>
    </cfRule>
    <cfRule type="cellIs" dxfId="76" priority="9" operator="between">
      <formula>960</formula>
      <formula>1200</formula>
    </cfRule>
  </conditionalFormatting>
  <conditionalFormatting sqref="N5">
    <cfRule type="cellIs" dxfId="75" priority="4" operator="greaterThan">
      <formula>7200</formula>
    </cfRule>
    <cfRule type="cellIs" dxfId="74" priority="5" operator="between">
      <formula>1200</formula>
      <formula>7200</formula>
    </cfRule>
    <cfRule type="cellIs" dxfId="73" priority="6" operator="between">
      <formula>960</formula>
      <formula>1200</formula>
    </cfRule>
  </conditionalFormatting>
  <conditionalFormatting sqref="N6">
    <cfRule type="cellIs" dxfId="72" priority="1" operator="greaterThan">
      <formula>7200</formula>
    </cfRule>
    <cfRule type="cellIs" dxfId="71" priority="2" operator="between">
      <formula>1200</formula>
      <formula>7200</formula>
    </cfRule>
    <cfRule type="cellIs" dxfId="70" priority="3" operator="between">
      <formula>960</formula>
      <formula>1200</formula>
    </cfRule>
  </conditionalFormatting>
  <dataValidations count="1">
    <dataValidation type="decimal" errorStyle="information" operator="greaterThanOrEqual" allowBlank="1" showInputMessage="1" showErrorMessage="1" errorTitle="Whoops" error="Try a not negative number!" sqref="I3:K6">
      <formula1>0</formula1>
    </dataValidation>
  </dataValidations>
  <pageMargins left="0.7" right="0.7" top="0.75" bottom="0.75" header="0.3" footer="0.3"/>
  <pageSetup orientation="portrait" r:id="rId1"/>
  <extLst>
    <ext xmlns:x14="http://schemas.microsoft.com/office/spreadsheetml/2009/9/main" uri="{CCE6A557-97BC-4b89-ADB6-D9C93CAAB3DF}">
      <x14:dataValidations xmlns:xm="http://schemas.microsoft.com/office/excel/2006/main" count="2">
        <x14:dataValidation type="list" allowBlank="1" showInputMessage="1" showErrorMessage="1">
          <x14:formula1>
            <xm:f>DataTables!$B$3:$B$6</xm:f>
          </x14:formula1>
          <xm:sqref>G3:G6</xm:sqref>
        </x14:dataValidation>
        <x14:dataValidation type="list" allowBlank="1" showInputMessage="1" showErrorMessage="1">
          <x14:formula1>
            <xm:f>DataTables!$B$9:$B$12</xm:f>
          </x14:formula1>
          <xm:sqref>H3:H6</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Q23"/>
  <sheetViews>
    <sheetView workbookViewId="0">
      <selection activeCell="M14" sqref="M14"/>
    </sheetView>
  </sheetViews>
  <sheetFormatPr defaultRowHeight="14.4" x14ac:dyDescent="0.3"/>
  <cols>
    <col min="1" max="1" width="5.77734375" style="10" customWidth="1"/>
    <col min="2" max="2" width="20.77734375" style="10" customWidth="1"/>
    <col min="3" max="3" width="10.77734375" style="10" customWidth="1"/>
    <col min="4" max="4" width="2.77734375" style="10" customWidth="1"/>
    <col min="5" max="5" width="10.77734375" style="10" customWidth="1"/>
    <col min="6" max="8" width="13.77734375" style="10" customWidth="1"/>
    <col min="9" max="11" width="12.77734375" style="10" customWidth="1"/>
    <col min="12" max="14" width="10.77734375" style="10" customWidth="1"/>
    <col min="15" max="16" width="8.77734375" style="10" customWidth="1"/>
    <col min="17" max="17" width="10.77734375" style="10" customWidth="1"/>
    <col min="18" max="16384" width="8.88671875" style="10"/>
  </cols>
  <sheetData>
    <row r="1" spans="2:17" ht="15" thickBot="1" x14ac:dyDescent="0.35"/>
    <row r="2" spans="2:17" ht="30" customHeight="1" thickBot="1" x14ac:dyDescent="0.35">
      <c r="B2" s="8" t="s">
        <v>92</v>
      </c>
      <c r="C2" s="99" t="s">
        <v>89</v>
      </c>
      <c r="E2" s="74" t="s">
        <v>9</v>
      </c>
      <c r="F2" s="179"/>
      <c r="G2" s="65" t="s">
        <v>12</v>
      </c>
      <c r="H2" s="64" t="s">
        <v>31</v>
      </c>
      <c r="I2" s="32" t="s">
        <v>11</v>
      </c>
      <c r="J2" s="65" t="s">
        <v>14</v>
      </c>
      <c r="K2" s="64" t="s">
        <v>19</v>
      </c>
      <c r="L2" s="32" t="s">
        <v>7</v>
      </c>
      <c r="M2" s="65" t="s">
        <v>8</v>
      </c>
      <c r="N2" s="64" t="s">
        <v>20</v>
      </c>
      <c r="O2" s="32" t="s">
        <v>42</v>
      </c>
      <c r="P2" s="64" t="s">
        <v>43</v>
      </c>
      <c r="Q2" s="66" t="s">
        <v>44</v>
      </c>
    </row>
    <row r="3" spans="2:17" ht="15" thickBot="1" x14ac:dyDescent="0.35">
      <c r="E3" s="75" t="s">
        <v>41</v>
      </c>
      <c r="F3" s="75"/>
      <c r="G3" s="150" t="s">
        <v>33</v>
      </c>
      <c r="H3" s="149" t="s">
        <v>33</v>
      </c>
      <c r="I3" s="150">
        <v>0</v>
      </c>
      <c r="J3" s="148">
        <v>0</v>
      </c>
      <c r="K3" s="149">
        <v>0</v>
      </c>
      <c r="L3" s="43">
        <f>(VLOOKUP(H3,DataTables!$B$8:$D$12,2,FALSE)*((1+I3*VLOOKUP(G3,DataTables!$B$2:$G$6,2,FALSE))-(J3*0.15)))</f>
        <v>1.25</v>
      </c>
      <c r="M3" s="4">
        <f>1*(1+J3*VLOOKUP(G3,DataTables!$B$2:$G$6,4,FALSE))</f>
        <v>1</v>
      </c>
      <c r="N3" s="185">
        <f>VLOOKUP(H3,DataTables!$B$9:$D$12,3,FALSE)*(1+IF((I3*VLOOKUP(G3,DataTables!$B$2:$G$6,3,FALSE)+J3*VLOOKUP(G3,DataTables!$B$2:$G$6,5,FALSE)-K3*VLOOKUP(G3,DataTables!$B$2:$G$6,6))&lt;-0.8,-0.8,(I3*VLOOKUP(G3,DataTables!$B$2:$G$6,3,FALSE)+J3*VLOOKUP(G3,DataTables!$B$2:$G$6,5,FALSE)-K3*VLOOKUP(G3,DataTables!$B$2:$G$6,6))))</f>
        <v>210</v>
      </c>
      <c r="O3" s="93">
        <f>P3/(L3*M3)</f>
        <v>2.1333333333333337</v>
      </c>
      <c r="P3" s="94">
        <f>'Rocket Parts'!C14</f>
        <v>2.666666666666667</v>
      </c>
      <c r="Q3" s="137">
        <f>CEILING(O3*15,1)</f>
        <v>32</v>
      </c>
    </row>
    <row r="4" spans="2:17" x14ac:dyDescent="0.3">
      <c r="B4" s="97" t="s">
        <v>41</v>
      </c>
      <c r="C4" s="98"/>
      <c r="E4" s="75" t="s">
        <v>40</v>
      </c>
      <c r="F4" s="75"/>
      <c r="G4" s="150" t="s">
        <v>33</v>
      </c>
      <c r="H4" s="149" t="s">
        <v>33</v>
      </c>
      <c r="I4" s="150">
        <v>0</v>
      </c>
      <c r="J4" s="148">
        <v>0</v>
      </c>
      <c r="K4" s="149">
        <v>0</v>
      </c>
      <c r="L4" s="43">
        <f>(VLOOKUP(H4,DataTables!$B$8:$D$12,2,FALSE)*((1+I4*VLOOKUP(G4,DataTables!$B$2:$G$6,2,FALSE))-(J4*0.15)))</f>
        <v>1.25</v>
      </c>
      <c r="M4" s="4">
        <f>1*(1+J4*VLOOKUP(G4,DataTables!$B$2:$G$6,4,FALSE))</f>
        <v>1</v>
      </c>
      <c r="N4" s="44">
        <f>VLOOKUP(H4,DataTables!$B$9:$D$12,3,FALSE)*(1+IF((I4*VLOOKUP(G4,DataTables!$B$2:$G$6,3,FALSE)+J4*VLOOKUP(G4,DataTables!$B$2:$G$6,5,FALSE)-K4*VLOOKUP(G4,DataTables!$B$2:$G$6,6))&lt;-0.8,-0.8,(I4*VLOOKUP(G4,DataTables!$B$2:$G$6,3,FALSE)+J4*VLOOKUP(G4,DataTables!$B$2:$G$6,5,FALSE)-K4*VLOOKUP(G4,DataTables!$B$2:$G$6,6))))</f>
        <v>210</v>
      </c>
      <c r="O4" s="70">
        <f>P4/(L4*M4)</f>
        <v>2.4026936026936028</v>
      </c>
      <c r="P4" s="94">
        <f>'Rocket Parts'!C20+'Rocket Parts'!C13</f>
        <v>3.0033670033670035</v>
      </c>
      <c r="Q4" s="137">
        <f>CEILING(O4*15,1)</f>
        <v>37</v>
      </c>
    </row>
    <row r="5" spans="2:17" x14ac:dyDescent="0.3">
      <c r="B5" s="89" t="s">
        <v>46</v>
      </c>
      <c r="C5" s="102">
        <f>5*O3</f>
        <v>10.666666666666668</v>
      </c>
      <c r="E5" s="75" t="s">
        <v>52</v>
      </c>
      <c r="F5" s="75"/>
      <c r="G5" s="150" t="s">
        <v>33</v>
      </c>
      <c r="H5" s="149" t="s">
        <v>33</v>
      </c>
      <c r="I5" s="150">
        <v>0</v>
      </c>
      <c r="J5" s="148">
        <v>0</v>
      </c>
      <c r="K5" s="149">
        <v>0</v>
      </c>
      <c r="L5" s="43">
        <f>(VLOOKUP(H5,DataTables!$B$8:$D$12,2,FALSE)*((1+I5*VLOOKUP(G5,DataTables!$B$2:$G$6,2,FALSE))-(J5*0.15)))</f>
        <v>1.25</v>
      </c>
      <c r="M5" s="4">
        <f>1*(1+J5*VLOOKUP(G5,DataTables!$B$2:$G$6,4,FALSE))</f>
        <v>1</v>
      </c>
      <c r="N5" s="44">
        <f>VLOOKUP(H5,DataTables!$B$9:$D$12,3,FALSE)*(1+IF((I5*VLOOKUP(G5,DataTables!$B$2:$G$6,3,FALSE)+J5*VLOOKUP(G5,DataTables!$B$2:$G$6,5,FALSE)-K5*VLOOKUP(G5,DataTables!$B$2:$G$6,6))&lt;-0.8,-0.8,(I5*VLOOKUP(G5,DataTables!$B$2:$G$6,3,FALSE)+J5*VLOOKUP(G5,DataTables!$B$2:$G$6,5,FALSE)-K5*VLOOKUP(G5,DataTables!$B$2:$G$6,6))))</f>
        <v>210</v>
      </c>
      <c r="O5" s="70">
        <f>P5/(L5*M5)</f>
        <v>12.377643097643098</v>
      </c>
      <c r="P5" s="94">
        <f>C6+C10</f>
        <v>15.472053872053873</v>
      </c>
      <c r="Q5" s="137">
        <f>CEILING(O5*8,1)</f>
        <v>100</v>
      </c>
    </row>
    <row r="6" spans="2:17" ht="15" thickBot="1" x14ac:dyDescent="0.35">
      <c r="B6" s="90" t="s">
        <v>52</v>
      </c>
      <c r="C6" s="103">
        <f>5*O3</f>
        <v>10.666666666666668</v>
      </c>
      <c r="E6" s="75" t="s">
        <v>54</v>
      </c>
      <c r="F6" s="75"/>
      <c r="G6" s="150" t="s">
        <v>33</v>
      </c>
      <c r="H6" s="149" t="s">
        <v>33</v>
      </c>
      <c r="I6" s="150">
        <v>0</v>
      </c>
      <c r="J6" s="148">
        <v>0</v>
      </c>
      <c r="K6" s="149">
        <v>0</v>
      </c>
      <c r="L6" s="43">
        <f>(VLOOKUP(H6,DataTables!$B$8:$D$12,2,FALSE)*((1+I6*VLOOKUP(G6,DataTables!$B$2:$G$6,2,FALSE))-(J6*0.15)))</f>
        <v>1.25</v>
      </c>
      <c r="M6" s="4">
        <f>1*(1+J6*VLOOKUP(G6,DataTables!$B$2:$G$6,4,FALSE))</f>
        <v>1</v>
      </c>
      <c r="N6" s="44">
        <f>VLOOKUP(H6,DataTables!$B$9:$D$12,3,FALSE)*(1+IF((I6*VLOOKUP(G6,DataTables!$B$2:$G$6,3,FALSE)+J6*VLOOKUP(G6,DataTables!$B$2:$G$6,5,FALSE)-K6*VLOOKUP(G6,DataTables!$B$2:$G$6,6))&lt;-0.8,-0.8,(I6*VLOOKUP(G6,DataTables!$B$2:$G$6,3,FALSE)+J6*VLOOKUP(G6,DataTables!$B$2:$G$6,5,FALSE)-K6*VLOOKUP(G6,DataTables!$B$2:$G$6,6))))</f>
        <v>210</v>
      </c>
      <c r="O6" s="70">
        <f>P6/(L6*M6)/2</f>
        <v>19.804228956228958</v>
      </c>
      <c r="P6" s="94">
        <f>4*O5</f>
        <v>49.510572390572392</v>
      </c>
      <c r="Q6" s="137">
        <f>CEILING(O6*0.5,1)</f>
        <v>10</v>
      </c>
    </row>
    <row r="7" spans="2:17" ht="15" thickBot="1" x14ac:dyDescent="0.35">
      <c r="C7" s="104"/>
      <c r="E7" s="75" t="s">
        <v>46</v>
      </c>
      <c r="F7" s="75"/>
      <c r="G7" s="150" t="s">
        <v>33</v>
      </c>
      <c r="H7" s="149" t="s">
        <v>33</v>
      </c>
      <c r="I7" s="150">
        <v>0</v>
      </c>
      <c r="J7" s="148">
        <v>0</v>
      </c>
      <c r="K7" s="149">
        <v>0</v>
      </c>
      <c r="L7" s="43">
        <f>(VLOOKUP(H7,DataTables!$B$8:$D$12,2,FALSE)*((1+I7*VLOOKUP(G7,DataTables!$B$2:$G$6,2,FALSE))-(J7*0.15)))</f>
        <v>1.25</v>
      </c>
      <c r="M7" s="4">
        <f>1*(1+J7*VLOOKUP(G7,DataTables!$B$2:$G$6,4,FALSE))</f>
        <v>1</v>
      </c>
      <c r="N7" s="44">
        <f>VLOOKUP(H7,DataTables!$B$9:$D$12,3,FALSE)*(1+IF((I7*VLOOKUP(G7,DataTables!$B$2:$G$6,3,FALSE)+J7*VLOOKUP(G7,DataTables!$B$2:$G$6,5,FALSE)-K7*VLOOKUP(G7,DataTables!$B$2:$G$6,6))&lt;-0.8,-0.8,(I7*VLOOKUP(G7,DataTables!$B$2:$G$6,3,FALSE)+J7*VLOOKUP(G7,DataTables!$B$2:$G$6,5,FALSE)-K7*VLOOKUP(G7,DataTables!$B$2:$G$6,6))))</f>
        <v>210</v>
      </c>
      <c r="O7" s="70">
        <f>P7/(L7*M7)</f>
        <v>70.066855218855224</v>
      </c>
      <c r="P7" s="94">
        <f>C5+C9+C14+'Intermediate Products'!C6+'Intermediate Products'!C14</f>
        <v>87.583569023569027</v>
      </c>
      <c r="Q7" s="137">
        <f>CEILING(O7*0.5,1)</f>
        <v>36</v>
      </c>
    </row>
    <row r="8" spans="2:17" ht="15" thickBot="1" x14ac:dyDescent="0.35">
      <c r="B8" s="97" t="s">
        <v>40</v>
      </c>
      <c r="C8" s="105"/>
      <c r="E8" s="76" t="s">
        <v>54</v>
      </c>
      <c r="F8" s="76"/>
      <c r="G8" s="142" t="s">
        <v>33</v>
      </c>
      <c r="H8" s="144" t="s">
        <v>33</v>
      </c>
      <c r="I8" s="142">
        <v>0</v>
      </c>
      <c r="J8" s="143">
        <v>0</v>
      </c>
      <c r="K8" s="144">
        <v>0</v>
      </c>
      <c r="L8" s="67">
        <f>(VLOOKUP(H8,DataTables!$B$8:$D$12,2,FALSE)*((1+I8*VLOOKUP(G8,DataTables!$B$2:$G$6,2,FALSE))-(J8*0.15)))</f>
        <v>1.25</v>
      </c>
      <c r="M8" s="68">
        <f>1*(1+J8*VLOOKUP(G8,DataTables!$B$2:$G$6,4,FALSE))</f>
        <v>1</v>
      </c>
      <c r="N8" s="69">
        <f>VLOOKUP(H8,DataTables!$B$9:$D$12,3,FALSE)*(1+IF((I8*VLOOKUP(G8,DataTables!$B$2:$G$6,3,FALSE)+J8*VLOOKUP(G8,DataTables!$B$2:$G$6,5,FALSE)-K8*VLOOKUP(G8,DataTables!$B$2:$G$6,6))&lt;-0.8,-0.8,(I8*VLOOKUP(G8,DataTables!$B$2:$G$6,3,FALSE)+J8*VLOOKUP(G8,DataTables!$B$2:$G$6,5,FALSE)-K8*VLOOKUP(G8,DataTables!$B$2:$G$6,6))))</f>
        <v>210</v>
      </c>
      <c r="O8" s="5">
        <f>P8/(L8*M8)/2</f>
        <v>84.080226262626269</v>
      </c>
      <c r="P8" s="96">
        <f>3*O7</f>
        <v>210.20056565656569</v>
      </c>
      <c r="Q8" s="138">
        <f>CEILING(O8*0.5,1)</f>
        <v>43</v>
      </c>
    </row>
    <row r="9" spans="2:17" ht="15" thickBot="1" x14ac:dyDescent="0.35">
      <c r="B9" s="89" t="s">
        <v>46</v>
      </c>
      <c r="C9" s="102">
        <f>20*O4</f>
        <v>48.053872053872055</v>
      </c>
    </row>
    <row r="10" spans="2:17" x14ac:dyDescent="0.3">
      <c r="B10" s="89" t="s">
        <v>52</v>
      </c>
      <c r="C10" s="102">
        <f>2*O4</f>
        <v>4.8053872053872055</v>
      </c>
      <c r="E10" s="11" t="s">
        <v>82</v>
      </c>
      <c r="F10" s="7" t="s">
        <v>16</v>
      </c>
      <c r="G10" s="15" t="s">
        <v>17</v>
      </c>
      <c r="H10" s="16" t="s">
        <v>2</v>
      </c>
    </row>
    <row r="11" spans="2:17" ht="15" thickBot="1" x14ac:dyDescent="0.35">
      <c r="B11" s="90" t="s">
        <v>53</v>
      </c>
      <c r="C11" s="103">
        <f>0.5*O4</f>
        <v>1.2013468013468014</v>
      </c>
      <c r="E11" s="12" t="s">
        <v>93</v>
      </c>
      <c r="F11" s="82">
        <f>I3*VLOOKUP(G3,DataTables!$B$2:$N$6,8,FALSE)+I4*VLOOKUP(G4,DataTables!$B$2:$N$6,8,FALSE)+I5*VLOOKUP(G5,DataTables!$B$2:$N$6,8,FALSE)+I6*VLOOKUP(G6,DataTables!$B$2:$N$6,8,FALSE)+I7*VLOOKUP(G7,DataTables!$B$2:$N$6,8,FALSE)+I8*VLOOKUP(G8,DataTables!$B$2:$N$6,8,FALSE)+(J3+K3)*VLOOKUP(G3,DataTables!$B$2:$N$6,11,FALSE)+(J4+K4)*VLOOKUP(G4,DataTables!$B$2:$N$6,11,FALSE)+(J5+K5)*VLOOKUP(G5,DataTables!$B$2:$N$6,11,FALSE)+(J6+K6)*VLOOKUP(G6,DataTables!$B$2:$N$6,11,FALSE)+(J7+K7)*VLOOKUP(G7,DataTables!$B$2:$N$6,11,FALSE)+(J8+K8)*VLOOKUP(G8,DataTables!$B$2:$N$6,11,FALSE)</f>
        <v>0</v>
      </c>
      <c r="G11" s="82">
        <f>I3*VLOOKUP(G3,DataTables!$B$2:$N$6,9,FALSE)+I4*VLOOKUP(G4,DataTables!$B$2:$N$6,9,FALSE)+I5*VLOOKUP(G5,DataTables!$B$2:$N$6,9,FALSE)+I6*VLOOKUP(G6,DataTables!$B$2:$N$6,9,FALSE)+I7*VLOOKUP(G7,DataTables!$B$2:$N$6,9,FALSE)+I8*VLOOKUP(G8,DataTables!$B$2:$N$6,9,FALSE)+(J3+K3)*VLOOKUP(G3,DataTables!$B$2:$N$6,12,FALSE)+(J4+K4)*VLOOKUP(G4,DataTables!$B$2:$N$6,12,FALSE)+(J5+K5)*VLOOKUP(G5,DataTables!$B$2:$N$6,12,FALSE)+(J6+K6)*VLOOKUP(G6,DataTables!$B$2:$N$6,12,FALSE)+(J7+K7)*VLOOKUP(G7,DataTables!$B$2:$N$6,12,FALSE)+(J8+K8)*VLOOKUP(G8,DataTables!$B$2:$N$6,12,FALSE)</f>
        <v>0</v>
      </c>
      <c r="H11" s="85">
        <f>I3*VLOOKUP(G3,DataTables!$B$2:$N$6,10,FALSE)+I4*VLOOKUP(G4,DataTables!$B$2:$N$6,10,FALSE)+I5*VLOOKUP(G5,DataTables!$B$2:$N$6,10,FALSE)+I6*VLOOKUP(G6,DataTables!$B$2:$N$6,10,FALSE)+I7*VLOOKUP(G7,DataTables!$B$2:$N$6,10,FALSE)+I8*VLOOKUP(G8,DataTables!$B$2:$N$6,10,FALSE)+(J3+K3)*VLOOKUP(G3,DataTables!$B$2:$N$6,13,FALSE)+(J4+K4)*VLOOKUP(G4,DataTables!$B$2:$N$6,13,FALSE)+(J5+K5)*VLOOKUP(G5,DataTables!$B$2:$N$6,13,FALSE)+(J6+K6)*VLOOKUP(G6,DataTables!$B$2:$N$6,13,FALSE)+(J7+K7)*VLOOKUP(G7,DataTables!$B$2:$N$6,13,FALSE)+(J8+K8)*VLOOKUP(G8,DataTables!$B$2:$N$6,13,FALSE)</f>
        <v>0</v>
      </c>
    </row>
    <row r="12" spans="2:17" ht="15" thickBot="1" x14ac:dyDescent="0.35">
      <c r="C12" s="104"/>
    </row>
    <row r="13" spans="2:17" x14ac:dyDescent="0.3">
      <c r="B13" s="97" t="s">
        <v>52</v>
      </c>
      <c r="C13" s="105"/>
      <c r="E13" s="11" t="s">
        <v>83</v>
      </c>
      <c r="F13" s="7" t="s">
        <v>16</v>
      </c>
      <c r="G13" s="15" t="s">
        <v>17</v>
      </c>
      <c r="H13" s="16" t="s">
        <v>2</v>
      </c>
    </row>
    <row r="14" spans="2:17" ht="15" thickBot="1" x14ac:dyDescent="0.35">
      <c r="B14" s="89" t="s">
        <v>46</v>
      </c>
      <c r="C14" s="102">
        <f>2*O5</f>
        <v>24.755286195286196</v>
      </c>
      <c r="E14" s="12" t="s">
        <v>93</v>
      </c>
      <c r="F14" s="82">
        <f>Q3*VLOOKUP(H3,DataTables!$B$8:$H$12,5,FALSE)+Q4*VLOOKUP(H4,DataTables!$B$8:$H$12,5,FALSE)+Q5*VLOOKUP(H5,DataTables!$B$8:$H$12,5,FALSE)+Q6*VLOOKUP(H6,DataTables!$B$8:$H$12,5,FALSE)+Q7*VLOOKUP(H7,DataTables!$B$8:$H$12,5,FALSE)+Q8*VLOOKUP(H8,DataTables!$B$8:$H$12,5,FALSE)</f>
        <v>38184</v>
      </c>
      <c r="G14" s="82">
        <f>Q3*VLOOKUP(H3,DataTables!$B$8:$H$12,6,FALSE)+Q4*VLOOKUP(H4,DataTables!$B$8:$H$12,6,FALSE)+Q5*VLOOKUP(H5,DataTables!$B$8:$H$12,6,FALSE)+Q6*VLOOKUP(H6,DataTables!$B$8:$H$12,6,FALSE)+Q7*VLOOKUP(H7,DataTables!$B$8:$H$12,6,FALSE)+Q8*VLOOKUP(H8,DataTables!$B$8:$H$12,6,FALSE)</f>
        <v>38184</v>
      </c>
      <c r="H14" s="85">
        <f>Q3*VLOOKUP(H3,DataTables!$B$8:$H$12,7,FALSE)+Q4*VLOOKUP(H4,DataTables!$B$8:$H$12,7,FALSE)+Q5*VLOOKUP(H5,DataTables!$B$8:$H$12,7,FALSE)+Q6*VLOOKUP(H6,DataTables!$B$8:$H$12,7,FALSE)</f>
        <v>7160</v>
      </c>
    </row>
    <row r="15" spans="2:17" x14ac:dyDescent="0.3">
      <c r="B15" s="89" t="s">
        <v>2</v>
      </c>
      <c r="C15" s="102">
        <f>2*O5</f>
        <v>24.755286195286196</v>
      </c>
    </row>
    <row r="16" spans="2:17" ht="15" thickBot="1" x14ac:dyDescent="0.35">
      <c r="B16" s="90" t="s">
        <v>55</v>
      </c>
      <c r="C16" s="103">
        <f>4*O5</f>
        <v>49.510572390572392</v>
      </c>
    </row>
    <row r="17" spans="2:10" ht="15" thickBot="1" x14ac:dyDescent="0.35">
      <c r="C17" s="104"/>
    </row>
    <row r="18" spans="2:10" x14ac:dyDescent="0.3">
      <c r="B18" s="97" t="s">
        <v>46</v>
      </c>
      <c r="C18" s="105"/>
      <c r="H18" s="29"/>
      <c r="I18" s="29"/>
      <c r="J18" s="29"/>
    </row>
    <row r="19" spans="2:10" x14ac:dyDescent="0.3">
      <c r="B19" s="89" t="s">
        <v>47</v>
      </c>
      <c r="C19" s="102">
        <f>1*O7</f>
        <v>70.066855218855224</v>
      </c>
    </row>
    <row r="20" spans="2:10" ht="15" thickBot="1" x14ac:dyDescent="0.35">
      <c r="B20" s="90" t="s">
        <v>54</v>
      </c>
      <c r="C20" s="103">
        <f>3*O7</f>
        <v>210.20056565656569</v>
      </c>
    </row>
    <row r="21" spans="2:10" ht="15" thickBot="1" x14ac:dyDescent="0.35"/>
    <row r="22" spans="2:10" x14ac:dyDescent="0.3">
      <c r="B22" s="86" t="s">
        <v>73</v>
      </c>
      <c r="C22" s="91">
        <f>N3*Q3+N4*Q4+N5*Q5+N6*Q6+N7*Q7+N8*Q8</f>
        <v>54180</v>
      </c>
    </row>
    <row r="23" spans="2:10" ht="15" thickBot="1" x14ac:dyDescent="0.35">
      <c r="B23" s="87" t="s">
        <v>74</v>
      </c>
      <c r="C23" s="92">
        <f>IF(N3&lt;960,N3,IF(N3&lt;1200,N3*0.5,N3*0.2))*Q3+IF(N4&lt;960,N4,IF(N4&lt;1200,N4*0.5,N4*0.2))*Q4+IF(N5&lt;960,N5,IF(N5&lt;1200,N5*0.5,N5*0.2))*Q5+IF(N6&lt;960,N6,IF(N6&lt;1200,N6*0.5,N6*0.2))*Q6+IF(N7&lt;960,N7,IF(N7&lt;1200,N7*0.5,N7*0.2))*Q7+IF(N8&lt;960,N8,IF(N8&lt;1200,N8*0.5,N8*0.2))*Q8</f>
        <v>54180</v>
      </c>
    </row>
  </sheetData>
  <conditionalFormatting sqref="N3">
    <cfRule type="cellIs" dxfId="69" priority="16" operator="greaterThan">
      <formula>7200</formula>
    </cfRule>
    <cfRule type="cellIs" dxfId="68" priority="17" operator="between">
      <formula>1200</formula>
      <formula>7200</formula>
    </cfRule>
    <cfRule type="cellIs" dxfId="67" priority="18" operator="between">
      <formula>960</formula>
      <formula>1200</formula>
    </cfRule>
  </conditionalFormatting>
  <conditionalFormatting sqref="N4">
    <cfRule type="cellIs" dxfId="66" priority="13" operator="greaterThan">
      <formula>7200</formula>
    </cfRule>
    <cfRule type="cellIs" dxfId="65" priority="14" operator="between">
      <formula>1200</formula>
      <formula>7200</formula>
    </cfRule>
    <cfRule type="cellIs" dxfId="64" priority="15" operator="between">
      <formula>960</formula>
      <formula>1200</formula>
    </cfRule>
  </conditionalFormatting>
  <conditionalFormatting sqref="N5">
    <cfRule type="cellIs" dxfId="63" priority="10" operator="greaterThan">
      <formula>7200</formula>
    </cfRule>
    <cfRule type="cellIs" dxfId="62" priority="11" operator="between">
      <formula>1200</formula>
      <formula>7200</formula>
    </cfRule>
    <cfRule type="cellIs" dxfId="61" priority="12" operator="between">
      <formula>960</formula>
      <formula>1200</formula>
    </cfRule>
  </conditionalFormatting>
  <conditionalFormatting sqref="N6">
    <cfRule type="cellIs" dxfId="60" priority="7" operator="greaterThan">
      <formula>7200</formula>
    </cfRule>
    <cfRule type="cellIs" dxfId="59" priority="8" operator="between">
      <formula>1200</formula>
      <formula>7200</formula>
    </cfRule>
    <cfRule type="cellIs" dxfId="58" priority="9" operator="between">
      <formula>960</formula>
      <formula>1200</formula>
    </cfRule>
  </conditionalFormatting>
  <conditionalFormatting sqref="N7">
    <cfRule type="cellIs" dxfId="57" priority="4" operator="greaterThan">
      <formula>7200</formula>
    </cfRule>
    <cfRule type="cellIs" dxfId="56" priority="5" operator="between">
      <formula>1200</formula>
      <formula>7200</formula>
    </cfRule>
    <cfRule type="cellIs" dxfId="55" priority="6" operator="between">
      <formula>960</formula>
      <formula>1200</formula>
    </cfRule>
  </conditionalFormatting>
  <conditionalFormatting sqref="N8">
    <cfRule type="cellIs" dxfId="54" priority="1" operator="greaterThan">
      <formula>7200</formula>
    </cfRule>
    <cfRule type="cellIs" dxfId="53" priority="2" operator="between">
      <formula>1200</formula>
      <formula>7200</formula>
    </cfRule>
    <cfRule type="cellIs" dxfId="52" priority="3" operator="between">
      <formula>960</formula>
      <formula>1200</formula>
    </cfRule>
  </conditionalFormatting>
  <dataValidations count="1">
    <dataValidation type="decimal" errorStyle="information" operator="greaterThanOrEqual" allowBlank="1" showInputMessage="1" showErrorMessage="1" errorTitle="Whoops" error="Try a not negative number!" sqref="I3:K8">
      <formula1>0</formula1>
    </dataValidation>
  </dataValidations>
  <pageMargins left="0.7" right="0.7" top="0.75" bottom="0.75" header="0.3" footer="0.3"/>
  <pageSetup orientation="portrait" r:id="rId1"/>
  <ignoredErrors>
    <ignoredError sqref="O6:O7" formula="1"/>
  </ignoredErrors>
  <extLst>
    <ext xmlns:x14="http://schemas.microsoft.com/office/spreadsheetml/2009/9/main" uri="{CCE6A557-97BC-4b89-ADB6-D9C93CAAB3DF}">
      <x14:dataValidations xmlns:xm="http://schemas.microsoft.com/office/excel/2006/main" count="2">
        <x14:dataValidation type="list" allowBlank="1" showInputMessage="1" showErrorMessage="1">
          <x14:formula1>
            <xm:f>DataTables!$B$3:$B$6</xm:f>
          </x14:formula1>
          <xm:sqref>G3:G8</xm:sqref>
        </x14:dataValidation>
        <x14:dataValidation type="list" allowBlank="1" showInputMessage="1" showErrorMessage="1">
          <x14:formula1>
            <xm:f>DataTables!$B$9:$B$12</xm:f>
          </x14:formula1>
          <xm:sqref>H3:H8</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Q27"/>
  <sheetViews>
    <sheetView workbookViewId="0">
      <selection activeCell="K18" sqref="K18"/>
    </sheetView>
  </sheetViews>
  <sheetFormatPr defaultRowHeight="14.4" x14ac:dyDescent="0.3"/>
  <cols>
    <col min="1" max="1" width="5.77734375" style="10" customWidth="1"/>
    <col min="2" max="2" width="20.77734375" style="10" customWidth="1"/>
    <col min="3" max="3" width="10.77734375" style="10" customWidth="1"/>
    <col min="4" max="4" width="2.77734375" style="10" customWidth="1"/>
    <col min="5" max="5" width="10.77734375" style="10" customWidth="1"/>
    <col min="6" max="8" width="13.77734375" style="10" customWidth="1"/>
    <col min="9" max="11" width="12.77734375" style="10" customWidth="1"/>
    <col min="12" max="14" width="10.77734375" style="10" customWidth="1"/>
    <col min="15" max="16" width="8.77734375" style="10" customWidth="1"/>
    <col min="17" max="17" width="10.77734375" style="10" customWidth="1"/>
    <col min="18" max="18" width="9.21875" style="10" customWidth="1"/>
    <col min="19" max="19" width="10.21875" style="10" bestFit="1" customWidth="1"/>
    <col min="20" max="16384" width="8.88671875" style="10"/>
  </cols>
  <sheetData>
    <row r="1" spans="2:17" ht="15" thickBot="1" x14ac:dyDescent="0.35"/>
    <row r="2" spans="2:17" ht="30" customHeight="1" thickBot="1" x14ac:dyDescent="0.35">
      <c r="B2" s="8" t="s">
        <v>90</v>
      </c>
      <c r="C2" s="99" t="s">
        <v>89</v>
      </c>
      <c r="E2" s="109" t="s">
        <v>9</v>
      </c>
      <c r="F2" s="110"/>
      <c r="G2" s="88" t="s">
        <v>12</v>
      </c>
      <c r="H2" s="84"/>
      <c r="I2" s="63" t="s">
        <v>11</v>
      </c>
      <c r="J2" s="65" t="s">
        <v>14</v>
      </c>
      <c r="K2" s="64" t="s">
        <v>19</v>
      </c>
      <c r="L2" s="32" t="s">
        <v>7</v>
      </c>
      <c r="M2" s="65" t="s">
        <v>8</v>
      </c>
      <c r="N2" s="64" t="s">
        <v>20</v>
      </c>
      <c r="O2" s="32" t="s">
        <v>42</v>
      </c>
      <c r="P2" s="64" t="s">
        <v>43</v>
      </c>
      <c r="Q2" s="66" t="s">
        <v>76</v>
      </c>
    </row>
    <row r="3" spans="2:17" ht="15" thickBot="1" x14ac:dyDescent="0.35">
      <c r="E3" s="75" t="s">
        <v>48</v>
      </c>
      <c r="F3" s="77"/>
      <c r="G3" s="151" t="s">
        <v>33</v>
      </c>
      <c r="H3" s="72"/>
      <c r="I3" s="158">
        <v>0</v>
      </c>
      <c r="J3" s="148">
        <v>0</v>
      </c>
      <c r="K3" s="149">
        <v>0</v>
      </c>
      <c r="L3" s="43">
        <f>1.25*((1+I3*VLOOKUP(G3,DataTables!$B$2:$G$6,2,FALSE))-(J3*0.15))</f>
        <v>1.25</v>
      </c>
      <c r="M3" s="4">
        <f>1*(1+J3*VLOOKUP(G3,DataTables!$B$2:$G$6,4,FALSE))</f>
        <v>1</v>
      </c>
      <c r="N3" s="185">
        <f>210*(1+IF((I3*VLOOKUP(G3,DataTables!$B$2:$G$6,3,FALSE)+J3*VLOOKUP(G3,DataTables!$B$2:$G$6,5,FALSE)-K3*VLOOKUP(G3,DataTables!$B$2:$G$6,6))&lt;-0.8,-0.8,(I3*VLOOKUP(G3,DataTables!$B$2:$G$6,3,FALSE)+J3*VLOOKUP(G3,DataTables!$B$2:$G$6,5,FALSE)-K3*VLOOKUP(G3,DataTables!$B$2:$G$6,6))))</f>
        <v>210</v>
      </c>
      <c r="O3" s="93">
        <f>P3/(L3*M3)</f>
        <v>1.0774410774410774</v>
      </c>
      <c r="P3" s="94">
        <f>'Intermediate Products'!C11</f>
        <v>1.3468013468013469</v>
      </c>
      <c r="Q3" s="137">
        <f>CEILING(O3*5,1)</f>
        <v>6</v>
      </c>
    </row>
    <row r="4" spans="2:17" x14ac:dyDescent="0.3">
      <c r="B4" s="97" t="s">
        <v>48</v>
      </c>
      <c r="C4" s="98"/>
      <c r="E4" s="75" t="s">
        <v>53</v>
      </c>
      <c r="F4" s="77"/>
      <c r="G4" s="151" t="s">
        <v>33</v>
      </c>
      <c r="H4" s="72"/>
      <c r="I4" s="158">
        <v>0</v>
      </c>
      <c r="J4" s="148">
        <v>0</v>
      </c>
      <c r="K4" s="149">
        <v>0</v>
      </c>
      <c r="L4" s="43">
        <f>1.25*((1+I4*VLOOKUP(G4,DataTables!$B$2:$G$6,2,FALSE))-(J4*0.15))</f>
        <v>1.25</v>
      </c>
      <c r="M4" s="4">
        <f>1*(1+J4*VLOOKUP(G4,DataTables!$B$2:$G$6,4,FALSE))</f>
        <v>1</v>
      </c>
      <c r="N4" s="44">
        <f>210*(1+IF((I4*VLOOKUP(G4,DataTables!$B$2:$G$6,3,FALSE)+J4*VLOOKUP(G4,DataTables!$B$2:$G$6,5,FALSE)-K4*VLOOKUP(G4,DataTables!$B$2:$G$6,6))&lt;-0.8,-0.8,(I4*VLOOKUP(G4,DataTables!$B$2:$G$6,3,FALSE)+J4*VLOOKUP(G4,DataTables!$B$2:$G$6,5,FALSE)-K4*VLOOKUP(G4,DataTables!$B$2:$G$6,6))))</f>
        <v>210</v>
      </c>
      <c r="O4" s="70">
        <f>P4/(L4*M4)</f>
        <v>1.7239057239057238</v>
      </c>
      <c r="P4" s="94">
        <f>C7</f>
        <v>2.1548821548821548</v>
      </c>
      <c r="Q4" s="137">
        <f>CEILING(O4*1,1)</f>
        <v>2</v>
      </c>
    </row>
    <row r="5" spans="2:17" x14ac:dyDescent="0.3">
      <c r="B5" s="89" t="s">
        <v>47</v>
      </c>
      <c r="C5" s="49">
        <f>1*$O$3</f>
        <v>1.0774410774410774</v>
      </c>
      <c r="E5" s="75" t="s">
        <v>3</v>
      </c>
      <c r="F5" s="77"/>
      <c r="G5" s="151" t="s">
        <v>33</v>
      </c>
      <c r="H5" s="72"/>
      <c r="I5" s="158">
        <v>0</v>
      </c>
      <c r="J5" s="148">
        <v>0</v>
      </c>
      <c r="K5" s="149">
        <v>0</v>
      </c>
      <c r="L5" s="43">
        <f>1.25*((1+I5*VLOOKUP(G5,DataTables!$B$2:$G$6,2,FALSE))-(J5*0.15))</f>
        <v>1.25</v>
      </c>
      <c r="M5" s="4">
        <f>1*(1+J5*VLOOKUP(G5,DataTables!$B$2:$G$6,4,FALSE))</f>
        <v>1</v>
      </c>
      <c r="N5" s="44">
        <f>210*(1+IF((I5*VLOOKUP(G5,DataTables!$B$2:$G$6,3,FALSE)+J5*VLOOKUP(G5,DataTables!$B$2:$G$6,5,FALSE)-K5*VLOOKUP(G5,DataTables!$B$2:$G$6,6))&lt;-0.8,-0.8,(I5*VLOOKUP(G5,DataTables!$B$2:$G$6,3,FALSE)+J5*VLOOKUP(G5,DataTables!$B$2:$G$6,5,FALSE)-K5*VLOOKUP(G5,DataTables!$B$2:$G$6,6))))</f>
        <v>210</v>
      </c>
      <c r="O5" s="70">
        <f>P5/(L5*M5)</f>
        <v>6.8956228956228953</v>
      </c>
      <c r="P5" s="94">
        <f>C10</f>
        <v>8.6195286195286194</v>
      </c>
      <c r="Q5" s="137">
        <f>CEILING(O5*5,1)</f>
        <v>35</v>
      </c>
    </row>
    <row r="6" spans="2:17" x14ac:dyDescent="0.3">
      <c r="B6" s="89" t="s">
        <v>51</v>
      </c>
      <c r="C6" s="49">
        <f>1*$O$3</f>
        <v>1.0774410774410774</v>
      </c>
      <c r="E6" s="75" t="s">
        <v>2</v>
      </c>
      <c r="F6" s="77"/>
      <c r="G6" s="151" t="s">
        <v>33</v>
      </c>
      <c r="H6" s="72"/>
      <c r="I6" s="158">
        <v>0</v>
      </c>
      <c r="J6" s="148">
        <v>0</v>
      </c>
      <c r="K6" s="149">
        <v>0</v>
      </c>
      <c r="L6" s="43">
        <f>1.25*((1+I6*VLOOKUP(G6,DataTables!$B$2:$G$6,2,FALSE))-(J6*0.15))</f>
        <v>1.25</v>
      </c>
      <c r="M6" s="4">
        <f>1*(1+J6*VLOOKUP(G6,DataTables!$B$2:$G$6,4,FALSE))</f>
        <v>1</v>
      </c>
      <c r="N6" s="44">
        <f>210*(1+IF((I6*VLOOKUP(G6,DataTables!$B$2:$G$6,3,FALSE)+J6*VLOOKUP(G6,DataTables!$B$2:$G$6,5,FALSE)-K6*VLOOKUP(G6,DataTables!$B$2:$G$6,6))&lt;-0.8,-0.8,(I6*VLOOKUP(G6,DataTables!$B$2:$G$6,3,FALSE)+J6*VLOOKUP(G6,DataTables!$B$2:$G$6,5,FALSE)-K6*VLOOKUP(G6,DataTables!$B$2:$G$6,6))))</f>
        <v>210</v>
      </c>
      <c r="O6" s="70">
        <f>P6/(L6*M6)</f>
        <v>31.537562289562288</v>
      </c>
      <c r="P6" s="94">
        <f>'Modules &amp; Circuits'!C15+'Rocket Parts'!C7</f>
        <v>39.42195286195286</v>
      </c>
      <c r="Q6" s="137">
        <f>CEILING(O6*5,1)</f>
        <v>158</v>
      </c>
    </row>
    <row r="7" spans="2:17" ht="15" thickBot="1" x14ac:dyDescent="0.35">
      <c r="B7" s="90" t="s">
        <v>53</v>
      </c>
      <c r="C7" s="6">
        <f>2*$O$3</f>
        <v>2.1548821548821548</v>
      </c>
      <c r="E7" s="76" t="s">
        <v>38</v>
      </c>
      <c r="F7" s="108"/>
      <c r="G7" s="152" t="s">
        <v>33</v>
      </c>
      <c r="H7" s="72"/>
      <c r="I7" s="157">
        <v>0</v>
      </c>
      <c r="J7" s="143">
        <v>0</v>
      </c>
      <c r="K7" s="144">
        <v>0</v>
      </c>
      <c r="L7" s="67">
        <f>1.25*((1+I7*VLOOKUP(G7,DataTables!$B$2:$G$6,2,FALSE))-(J7*0.15))</f>
        <v>1.25</v>
      </c>
      <c r="M7" s="68">
        <f>1*(1+J7*VLOOKUP(G7,DataTables!$B$2:$G$6,4,FALSE))</f>
        <v>1</v>
      </c>
      <c r="N7" s="69">
        <f>210*(1+IF((I7*VLOOKUP(G7,DataTables!$B$2:$G$6,3,FALSE)+J7*VLOOKUP(G7,DataTables!$B$2:$G$6,5,FALSE)-K7*VLOOKUP(G7,DataTables!$B$2:$G$6,6))&lt;-0.8,-0.8,(I7*VLOOKUP(G7,DataTables!$B$2:$G$6,3,FALSE)+J7*VLOOKUP(G7,DataTables!$B$2:$G$6,5,FALSE)-K7*VLOOKUP(G7,DataTables!$B$2:$G$6,6))))</f>
        <v>210</v>
      </c>
      <c r="O7" s="5">
        <f>P7/(L7*M7)</f>
        <v>22.4</v>
      </c>
      <c r="P7" s="96">
        <f>'Rocket Parts'!C10</f>
        <v>28</v>
      </c>
      <c r="Q7" s="138">
        <f>CEILING(O7*3,1)</f>
        <v>68</v>
      </c>
    </row>
    <row r="8" spans="2:17" ht="15" thickBot="1" x14ac:dyDescent="0.35">
      <c r="C8" s="101"/>
      <c r="H8" s="129"/>
    </row>
    <row r="9" spans="2:17" x14ac:dyDescent="0.3">
      <c r="B9" s="97" t="s">
        <v>53</v>
      </c>
      <c r="C9" s="62"/>
      <c r="E9" s="115" t="s">
        <v>60</v>
      </c>
      <c r="F9" s="116"/>
      <c r="G9" s="153" t="s">
        <v>33</v>
      </c>
      <c r="H9" s="72"/>
      <c r="I9" s="154">
        <v>0</v>
      </c>
      <c r="J9" s="155">
        <v>0</v>
      </c>
      <c r="K9" s="156">
        <v>0</v>
      </c>
      <c r="L9" s="117">
        <f>1*((1+I9*VLOOKUP(G9,DataTables!$B$2:$G$6,2,FALSE))-(J9*0.15))</f>
        <v>1</v>
      </c>
      <c r="M9" s="118">
        <f>1*(1+J9*VLOOKUP(G9,DataTables!$B$2:$G$6,4,FALSE))</f>
        <v>1</v>
      </c>
      <c r="N9" s="187">
        <f>420*(1+IF((I9*VLOOKUP(G9,DataTables!$B$2:$G$6,3,FALSE)+J9*VLOOKUP(G9,DataTables!$B$2:$G$6,5,FALSE)-K9*VLOOKUP(G9,DataTables!$B$2:$G$6,6))&lt;-0.8,-0.8,(I9*VLOOKUP(G9,DataTables!$B$2:$G$6,3,FALSE)+J9*VLOOKUP(G9,DataTables!$B$2:$G$6,5,FALSE)-K9*VLOOKUP(G9,DataTables!$B$2:$G$6,6))))</f>
        <v>420</v>
      </c>
      <c r="O9" s="119">
        <f>C24</f>
        <v>133.5488819660782</v>
      </c>
      <c r="P9" s="120"/>
      <c r="Q9" s="139">
        <f>CEILING(O9*0.5,1)</f>
        <v>67</v>
      </c>
    </row>
    <row r="10" spans="2:17" x14ac:dyDescent="0.3">
      <c r="B10" s="89" t="s">
        <v>3</v>
      </c>
      <c r="C10" s="49">
        <f>5*O4</f>
        <v>8.6195286195286194</v>
      </c>
      <c r="E10" s="121" t="s">
        <v>4</v>
      </c>
      <c r="F10" s="122"/>
      <c r="G10" s="177" t="str">
        <f>G9</f>
        <v>Default</v>
      </c>
      <c r="H10" s="72"/>
      <c r="I10" s="171">
        <f>I9</f>
        <v>0</v>
      </c>
      <c r="J10" s="172">
        <f t="shared" ref="I10:K12" si="0">J9</f>
        <v>0</v>
      </c>
      <c r="K10" s="173">
        <f t="shared" si="0"/>
        <v>0</v>
      </c>
      <c r="L10" s="43">
        <f>1*((1+I10*VLOOKUP(G10,DataTables!$B$2:$G$6,2,FALSE))-(J10*0.15))</f>
        <v>1</v>
      </c>
      <c r="M10" s="4">
        <f>1*(1+J10*VLOOKUP(G10,DataTables!$B$2:$G$6,4,FALSE))</f>
        <v>1</v>
      </c>
      <c r="N10" s="190"/>
      <c r="O10" s="93">
        <f>1*C24/10</f>
        <v>13.354888196607821</v>
      </c>
      <c r="P10" s="94">
        <f>O10*(L10*M10)</f>
        <v>13.354888196607821</v>
      </c>
      <c r="Q10" s="114"/>
    </row>
    <row r="11" spans="2:17" ht="15" thickBot="1" x14ac:dyDescent="0.35">
      <c r="B11" s="90" t="s">
        <v>47</v>
      </c>
      <c r="C11" s="6">
        <f>1*O4</f>
        <v>1.7239057239057238</v>
      </c>
      <c r="E11" s="121" t="s">
        <v>5</v>
      </c>
      <c r="F11" s="122"/>
      <c r="G11" s="177" t="str">
        <f>G10</f>
        <v>Default</v>
      </c>
      <c r="H11" s="72"/>
      <c r="I11" s="171">
        <f t="shared" si="0"/>
        <v>0</v>
      </c>
      <c r="J11" s="172">
        <f t="shared" si="0"/>
        <v>0</v>
      </c>
      <c r="K11" s="173">
        <f t="shared" si="0"/>
        <v>0</v>
      </c>
      <c r="L11" s="43">
        <f>1*((1+I11*VLOOKUP(G11,DataTables!$B$2:$G$6,2,FALSE))-(J11*0.15))</f>
        <v>1</v>
      </c>
      <c r="M11" s="4">
        <f>1*(1+J11*VLOOKUP(G11,DataTables!$B$2:$G$6,4,FALSE))</f>
        <v>1</v>
      </c>
      <c r="N11" s="113"/>
      <c r="O11" s="93">
        <f>4.5*C24/10</f>
        <v>60.096996884735191</v>
      </c>
      <c r="P11" s="94">
        <f>O11*(L11*M11)</f>
        <v>60.096996884735191</v>
      </c>
      <c r="Q11" s="114"/>
    </row>
    <row r="12" spans="2:17" ht="15" thickBot="1" x14ac:dyDescent="0.35">
      <c r="C12" s="101"/>
      <c r="E12" s="123" t="s">
        <v>6</v>
      </c>
      <c r="F12" s="124"/>
      <c r="G12" s="178" t="str">
        <f>G11</f>
        <v>Default</v>
      </c>
      <c r="H12" s="72"/>
      <c r="I12" s="174">
        <f t="shared" si="0"/>
        <v>0</v>
      </c>
      <c r="J12" s="175">
        <f t="shared" si="0"/>
        <v>0</v>
      </c>
      <c r="K12" s="176">
        <f t="shared" si="0"/>
        <v>0</v>
      </c>
      <c r="L12" s="67">
        <f>1*((1+I12*VLOOKUP(G12,DataTables!$B$2:$G$6,2,FALSE))-(J12*0.15))</f>
        <v>1</v>
      </c>
      <c r="M12" s="68">
        <f>1*(1+J12*VLOOKUP(G12,DataTables!$B$2:$G$6,4,FALSE))</f>
        <v>1</v>
      </c>
      <c r="N12" s="125"/>
      <c r="O12" s="95">
        <f>5.5*C24/10</f>
        <v>73.451885081343008</v>
      </c>
      <c r="P12" s="96">
        <f>O12*(L12*M12)</f>
        <v>73.451885081343008</v>
      </c>
      <c r="Q12" s="126"/>
    </row>
    <row r="13" spans="2:17" ht="15" thickBot="1" x14ac:dyDescent="0.35">
      <c r="B13" s="97" t="s">
        <v>3</v>
      </c>
      <c r="C13" s="62"/>
      <c r="H13" s="129"/>
    </row>
    <row r="14" spans="2:17" ht="15" thickBot="1" x14ac:dyDescent="0.35">
      <c r="B14" s="90" t="s">
        <v>6</v>
      </c>
      <c r="C14" s="6">
        <f>3*O5</f>
        <v>20.686868686868685</v>
      </c>
      <c r="E14" s="115" t="s">
        <v>0</v>
      </c>
      <c r="F14" s="116"/>
      <c r="G14" s="153" t="s">
        <v>33</v>
      </c>
      <c r="H14" s="72"/>
      <c r="I14" s="154">
        <v>0</v>
      </c>
      <c r="J14" s="155">
        <v>0</v>
      </c>
      <c r="K14" s="156">
        <v>0</v>
      </c>
      <c r="L14" s="117">
        <f>1.25*((1+I14*VLOOKUP(G14,DataTables!$B$2:$G$6,2,FALSE))-(J14*0.15))</f>
        <v>1.25</v>
      </c>
      <c r="M14" s="118">
        <f>1*(1+J14*VLOOKUP(G14,DataTables!$B$2:$G$6,4,FALSE))</f>
        <v>1</v>
      </c>
      <c r="N14" s="187">
        <f>210*(1+IF((I14*VLOOKUP(G14,DataTables!$B$2:$G$6,3,FALSE)+J14*VLOOKUP(G14,DataTables!$B$2:$G$6,5,FALSE)-K14*VLOOKUP(G14,DataTables!$B$2:$G$6,6))&lt;-0.8,-0.8,(I14*VLOOKUP(G14,DataTables!$B$2:$G$6,3,FALSE)+J14*VLOOKUP(G14,DataTables!$B$2:$G$6,5,FALSE)-K14*VLOOKUP(G14,DataTables!$B$2:$G$6,6))))</f>
        <v>210</v>
      </c>
      <c r="O14" s="189">
        <f>P10</f>
        <v>13.354888196607821</v>
      </c>
      <c r="P14" s="127">
        <f>(3/4)*O14*M14*L14</f>
        <v>12.520207684319832</v>
      </c>
      <c r="Q14" s="139">
        <f>CEILING(O14*5,1)</f>
        <v>67</v>
      </c>
    </row>
    <row r="15" spans="2:17" ht="15" thickBot="1" x14ac:dyDescent="0.35">
      <c r="C15" s="101"/>
      <c r="E15" s="76" t="s">
        <v>1</v>
      </c>
      <c r="F15" s="108"/>
      <c r="G15" s="152" t="s">
        <v>33</v>
      </c>
      <c r="H15" s="72"/>
      <c r="I15" s="157">
        <v>0</v>
      </c>
      <c r="J15" s="143">
        <v>0</v>
      </c>
      <c r="K15" s="144">
        <v>0</v>
      </c>
      <c r="L15" s="67">
        <f>1.25*((1+I15*VLOOKUP(G15,DataTables!$B$2:$G$6,2,FALSE))-(J15*0.15))</f>
        <v>1.25</v>
      </c>
      <c r="M15" s="68">
        <f>1*(1+J15*VLOOKUP(G15,DataTables!$B$2:$G$6,4,FALSE))</f>
        <v>1</v>
      </c>
      <c r="N15" s="112">
        <f>210*(1+IF((I15*VLOOKUP(G15,DataTables!$B$2:$G$6,3,FALSE)+J15*VLOOKUP(G15,DataTables!$B$2:$G$6,5,FALSE)-K15*VLOOKUP(G15,DataTables!$B$2:$G$6,6))&lt;-0.8,-0.8,(I15*VLOOKUP(G15,DataTables!$B$2:$G$6,3,FALSE)+J15*VLOOKUP(G15,DataTables!$B$2:$G$6,5,FALSE)-K15*VLOOKUP(G15,DataTables!$B$2:$G$6,6))))</f>
        <v>210</v>
      </c>
      <c r="O15" s="5">
        <f>P14+P11-O7</f>
        <v>50.217204569055021</v>
      </c>
      <c r="P15" s="96">
        <f>(2/3)*O15*M15*L15</f>
        <v>41.847670474212521</v>
      </c>
      <c r="Q15" s="138">
        <f>CEILING(O15*5,1)</f>
        <v>252</v>
      </c>
    </row>
    <row r="16" spans="2:17" ht="15" thickBot="1" x14ac:dyDescent="0.35">
      <c r="B16" s="97" t="s">
        <v>2</v>
      </c>
      <c r="C16" s="62"/>
    </row>
    <row r="17" spans="2:17" x14ac:dyDescent="0.3">
      <c r="B17" s="89" t="s">
        <v>57</v>
      </c>
      <c r="C17" s="49">
        <f>1*O6</f>
        <v>31.537562289562288</v>
      </c>
      <c r="E17" s="11" t="s">
        <v>82</v>
      </c>
      <c r="F17" s="7" t="s">
        <v>16</v>
      </c>
      <c r="G17" s="15" t="s">
        <v>17</v>
      </c>
      <c r="H17" s="16" t="s">
        <v>2</v>
      </c>
      <c r="N17" s="186"/>
    </row>
    <row r="18" spans="2:17" ht="15" thickBot="1" x14ac:dyDescent="0.35">
      <c r="B18" s="90" t="s">
        <v>6</v>
      </c>
      <c r="C18" s="6">
        <f>3*O6</f>
        <v>94.612686868686865</v>
      </c>
      <c r="E18" s="12" t="s">
        <v>81</v>
      </c>
      <c r="F18" s="82">
        <f>I3*VLOOKUP(G3,DataTables!$B$2:$N$6,8,FALSE)+I4*VLOOKUP(G4,DataTables!$B$2:$N$6,8,FALSE)+I5*VLOOKUP(G5,DataTables!$B$2:$N$6,8,FALSE)+I6*VLOOKUP(G6,DataTables!$B$2:$N$6,8,FALSE)+I7*VLOOKUP(G7,DataTables!$B$2:$N$6,8,FALSE)+I9*VLOOKUP(G9,DataTables!$B$2:$N$6,8,FALSE)+I10*VLOOKUP(G10,DataTables!$B$2:$N$6,8,FALSE)+I11*VLOOKUP(G11,DataTables!$B$2:$N$6,8,FALSE)+I12*VLOOKUP(G12,DataTables!$B$2:$N$6,8,FALSE)+I14*VLOOKUP(G14,DataTables!$B$2:$N$6,8,FALSE)+I15*VLOOKUP(G15,DataTables!$B$2:$N$6,8,FALSE)+(J3+K3)*VLOOKUP(G3,DataTables!$B$2:$N$6,11,FALSE)+(J4+K4)*VLOOKUP(G4,DataTables!$B$2:$N$6,11,FALSE)+(J5+K5)*VLOOKUP(G5,DataTables!$B$2:$N$6,11,FALSE)+(J6+K6)*VLOOKUP(G6,DataTables!$B$2:$N$6,11,FALSE)+(J7+K7)*VLOOKUP(G7,DataTables!$B$2:$N$6,11,FALSE)+(J9+K9)*VLOOKUP(G9,DataTables!$B$2:$N$6,11,FALSE)+(J10+K10)*VLOOKUP(G10,DataTables!$B$2:$N$6,11,FALSE)+(J11+K11)*VLOOKUP(G11,DataTables!$B$2:$N$6,11,FALSE)+(J12+K12)*VLOOKUP(G12,DataTables!$B$2:$N$6,11,FALSE)+(J14+K14)*VLOOKUP(G14,DataTables!$B$2:$N$6,11,FALSE)+(J15+K15)*VLOOKUP(G15,DataTables!$B$2:$N$6,11,FALSE)</f>
        <v>0</v>
      </c>
      <c r="G18" s="82">
        <f>I3*VLOOKUP(G3,DataTables!$B$2:$N$6,9,FALSE)+I4*VLOOKUP(G4,DataTables!$B$2:$N$6,9,FALSE)+I5*VLOOKUP(G5,DataTables!$B$2:$N$6,9,FALSE)+I6*VLOOKUP(G6,DataTables!$B$2:$N$6,9,FALSE)+I7*VLOOKUP(G7,DataTables!$B$2:$N$6,9,FALSE)+I9*VLOOKUP(G9,DataTables!$B$2:$N$6,9,FALSE)+I10*VLOOKUP(G10,DataTables!$B$2:$N$6,9,FALSE)+I11*VLOOKUP(G11,DataTables!$B$2:$N$6,9,FALSE)+I12*VLOOKUP(G12,DataTables!$B$2:$N$6,9,FALSE)+I14*VLOOKUP(G14,DataTables!$B$2:$N$6,9,FALSE)+I15*VLOOKUP(G15,DataTables!$B$2:$N$6,9,FALSE)+(J3+K3)*VLOOKUP(G3,DataTables!$B$2:$N$6,12,FALSE)+(J4+K4)*VLOOKUP(G4,DataTables!$B$2:$N$6,12,FALSE)+(J5+K5)*VLOOKUP(G5,DataTables!$B$2:$N$6,12,FALSE)+(J6+K6)*VLOOKUP(G6,DataTables!$B$2:$N$6,12,FALSE)+(J7+K7)*VLOOKUP(G7,DataTables!$B$2:$N$6,12,FALSE)+(J9+K9)*VLOOKUP(G9,DataTables!$B$2:$N$6,12,FALSE)+(J10+K10)*VLOOKUP(G10,DataTables!$B$2:$N$6,12,FALSE)+(J11+K11)*VLOOKUP(G11,DataTables!$B$2:$N$6,12,FALSE)+(J12+K12)*VLOOKUP(G12,DataTables!$B$2:$N$6,12,FALSE)+(J14+K14)*VLOOKUP(G14,DataTables!$B$2:$N$6,12,FALSE)+(J15+K15)*VLOOKUP(G15,DataTables!$B$2:$N$6,12,FALSE)</f>
        <v>0</v>
      </c>
      <c r="H18" s="85">
        <f>I3*VLOOKUP(G3,DataTables!$B$2:$N$6,10,FALSE)+I4*VLOOKUP(G4,DataTables!$B$2:$N$6,10,FALSE)+I5*VLOOKUP(G5,DataTables!$B$2:$N$6,10,FALSE)+I6*VLOOKUP(G6,DataTables!$B$2:$N$6,10,FALSE)+I7*VLOOKUP(G7,DataTables!$B$2:$N$6,10,FALSE)+I9*VLOOKUP(G9,DataTables!$B$2:$N$6,10,FALSE)+I10*VLOOKUP(G10,DataTables!$B$2:$N$6,10,FALSE)+I11*VLOOKUP(G11,DataTables!$B$2:$N$6,10,FALSE)+I12*VLOOKUP(G12,DataTables!$B$2:$N$6,10,FALSE)+I14*VLOOKUP(G14,DataTables!$B$2:$N$6,10,FALSE)+I15*VLOOKUP(G15,DataTables!$B$2:$N$6,10,FALSE)+(J3+K3)*VLOOKUP(G3,DataTables!$B$2:$N$6,13,FALSE)+(J4+K4)*VLOOKUP(G4,DataTables!$B$2:$N$6,13,FALSE)+(J5+K5)*VLOOKUP(G5,DataTables!$B$2:$N$6,13,FALSE)+(J6+K6)*VLOOKUP(G6,DataTables!$B$2:$N$6,13,FALSE)+(J7+K7)*VLOOKUP(G7,DataTables!$B$2:$N$6,13,FALSE)+(J9+K9)*VLOOKUP(G9,DataTables!$B$2:$N$6,13,FALSE)+(J10+K10)*VLOOKUP(G10,DataTables!$B$2:$N$6,13,FALSE)+(J11+K11)*VLOOKUP(G11,DataTables!$B$2:$N$6,13,FALSE)+(J12+K12)*VLOOKUP(G12,DataTables!$B$2:$N$6,13,FALSE)+(J14+K14)*VLOOKUP(G14,DataTables!$B$2:$N$6,13,FALSE)+(J15+K15)*VLOOKUP(G15,DataTables!$B$2:$N$6,13,FALSE)</f>
        <v>0</v>
      </c>
    </row>
    <row r="19" spans="2:17" ht="15" thickBot="1" x14ac:dyDescent="0.35">
      <c r="C19" s="101"/>
    </row>
    <row r="20" spans="2:17" x14ac:dyDescent="0.3">
      <c r="B20" s="97" t="s">
        <v>38</v>
      </c>
      <c r="C20" s="62"/>
      <c r="E20" s="11" t="s">
        <v>83</v>
      </c>
      <c r="F20" s="7" t="s">
        <v>16</v>
      </c>
      <c r="G20" s="15" t="s">
        <v>17</v>
      </c>
      <c r="H20" s="15" t="s">
        <v>18</v>
      </c>
      <c r="I20" s="16" t="s">
        <v>64</v>
      </c>
      <c r="Q20" s="27"/>
    </row>
    <row r="21" spans="2:17" ht="15" thickBot="1" x14ac:dyDescent="0.35">
      <c r="B21" s="90" t="s">
        <v>58</v>
      </c>
      <c r="C21" s="6">
        <f>1*O7</f>
        <v>22.4</v>
      </c>
      <c r="E21" s="12" t="s">
        <v>81</v>
      </c>
      <c r="F21" s="83">
        <f>(SUM(Q3:Q7)+Q14+Q15)*20+Q9*40</f>
        <v>14440</v>
      </c>
      <c r="G21" s="83">
        <f>(SUM(Q3:Q7)+Q14+Q15)*7.5+Q9*15</f>
        <v>5415</v>
      </c>
      <c r="H21" s="83">
        <f>(SUM(Q3:Q7)+Q14+Q15)*5+Q9*15</f>
        <v>3945</v>
      </c>
      <c r="I21" s="128">
        <f>Q9*50</f>
        <v>3350</v>
      </c>
    </row>
    <row r="22" spans="2:17" ht="15" thickBot="1" x14ac:dyDescent="0.35">
      <c r="C22" s="101"/>
    </row>
    <row r="23" spans="2:17" x14ac:dyDescent="0.3">
      <c r="B23" s="97" t="s">
        <v>60</v>
      </c>
      <c r="C23" s="62"/>
    </row>
    <row r="24" spans="2:17" ht="15" thickBot="1" x14ac:dyDescent="0.35">
      <c r="B24" s="90" t="s">
        <v>61</v>
      </c>
      <c r="C24" s="6">
        <f>((C18+C14)+((2/3)*L15*M15*O7))/((L9*M9)*(((1/20)*L15*M15*L14*M14)+((3/10)*L15*M15)+(5.5/10)))</f>
        <v>133.5488819660782</v>
      </c>
    </row>
    <row r="25" spans="2:17" ht="15" thickBot="1" x14ac:dyDescent="0.35"/>
    <row r="26" spans="2:17" x14ac:dyDescent="0.3">
      <c r="B26" s="86" t="s">
        <v>73</v>
      </c>
      <c r="C26" s="91">
        <f>N3*Q3+N4*Q4+N5*Q5+N6*Q6+N7*Q7+N9*Q9+N14*Q14+N15*Q15</f>
        <v>151620</v>
      </c>
    </row>
    <row r="27" spans="2:17" ht="15" thickBot="1" x14ac:dyDescent="0.35">
      <c r="B27" s="87" t="s">
        <v>74</v>
      </c>
      <c r="C27" s="92">
        <f>IF(N3&lt;960,N3,IF(N3&lt;1200,N3*0.5,N3*0.2))*Q3+IF(N4&lt;960,N4,IF(N4&lt;1200,N4*0.5,N4*0.2))*Q4+IF(N5&lt;960,N5,IF(N5&lt;1200,N5*0.5,N5*0.2))*Q5+IF(N6&lt;960,N6,IF(N6&lt;1200,N6*0.5,N6*0.2))*Q6+IF(N7&lt;960,N7,IF(N7&lt;1200,N7*0.5,N7*0.2))*Q7+IF(N9&lt;960,N9,IF(N9&lt;1200,N9*0.5,N9*0.2))*Q9+IF(N14&lt;960,N14,IF(N14&lt;1200,N14*0.5,N14*0.2))*Q14+IF(N15&lt;960,N15,IF(N15&lt;1200,N15*0.5,N15*0.2))*Q15</f>
        <v>151620</v>
      </c>
    </row>
  </sheetData>
  <conditionalFormatting sqref="N11:N12">
    <cfRule type="cellIs" dxfId="51" priority="52" operator="greaterThan">
      <formula>1200</formula>
    </cfRule>
    <cfRule type="cellIs" dxfId="50" priority="53" operator="between">
      <formula>960</formula>
      <formula>1200</formula>
    </cfRule>
  </conditionalFormatting>
  <conditionalFormatting sqref="N10">
    <cfRule type="cellIs" dxfId="49" priority="40" operator="greaterThan">
      <formula>1200</formula>
    </cfRule>
    <cfRule type="cellIs" dxfId="48" priority="41" operator="between">
      <formula>960</formula>
      <formula>1200</formula>
    </cfRule>
  </conditionalFormatting>
  <conditionalFormatting sqref="N10">
    <cfRule type="cellIs" dxfId="47" priority="37" operator="greaterThan">
      <formula>7200</formula>
    </cfRule>
    <cfRule type="cellIs" dxfId="46" priority="38" operator="between">
      <formula>1200</formula>
      <formula>7200</formula>
    </cfRule>
    <cfRule type="cellIs" dxfId="45" priority="39" operator="between">
      <formula>960</formula>
      <formula>1200</formula>
    </cfRule>
  </conditionalFormatting>
  <conditionalFormatting sqref="N17">
    <cfRule type="cellIs" dxfId="44" priority="25" operator="greaterThan">
      <formula>7200</formula>
    </cfRule>
    <cfRule type="cellIs" dxfId="43" priority="26" operator="between">
      <formula>1200</formula>
      <formula>7200</formula>
    </cfRule>
    <cfRule type="cellIs" dxfId="42" priority="27" operator="between">
      <formula>960</formula>
      <formula>1200</formula>
    </cfRule>
  </conditionalFormatting>
  <conditionalFormatting sqref="N3">
    <cfRule type="cellIs" dxfId="41" priority="22" operator="greaterThan">
      <formula>7200</formula>
    </cfRule>
    <cfRule type="cellIs" dxfId="40" priority="23" operator="between">
      <formula>1200</formula>
      <formula>7200</formula>
    </cfRule>
    <cfRule type="cellIs" dxfId="39" priority="24" operator="between">
      <formula>960</formula>
      <formula>1200</formula>
    </cfRule>
  </conditionalFormatting>
  <conditionalFormatting sqref="N4">
    <cfRule type="cellIs" dxfId="38" priority="19" operator="greaterThan">
      <formula>7200</formula>
    </cfRule>
    <cfRule type="cellIs" dxfId="37" priority="20" operator="between">
      <formula>1200</formula>
      <formula>7200</formula>
    </cfRule>
    <cfRule type="cellIs" dxfId="36" priority="21" operator="between">
      <formula>960</formula>
      <formula>1200</formula>
    </cfRule>
  </conditionalFormatting>
  <conditionalFormatting sqref="N5">
    <cfRule type="cellIs" dxfId="35" priority="16" operator="greaterThan">
      <formula>7200</formula>
    </cfRule>
    <cfRule type="cellIs" dxfId="34" priority="17" operator="between">
      <formula>1200</formula>
      <formula>7200</formula>
    </cfRule>
    <cfRule type="cellIs" dxfId="33" priority="18" operator="between">
      <formula>960</formula>
      <formula>1200</formula>
    </cfRule>
  </conditionalFormatting>
  <conditionalFormatting sqref="N6">
    <cfRule type="cellIs" dxfId="32" priority="13" operator="greaterThan">
      <formula>7200</formula>
    </cfRule>
    <cfRule type="cellIs" dxfId="31" priority="14" operator="between">
      <formula>1200</formula>
      <formula>7200</formula>
    </cfRule>
    <cfRule type="cellIs" dxfId="30" priority="15" operator="between">
      <formula>960</formula>
      <formula>1200</formula>
    </cfRule>
  </conditionalFormatting>
  <conditionalFormatting sqref="N7">
    <cfRule type="cellIs" dxfId="29" priority="10" operator="greaterThan">
      <formula>7200</formula>
    </cfRule>
    <cfRule type="cellIs" dxfId="28" priority="11" operator="between">
      <formula>1200</formula>
      <formula>7200</formula>
    </cfRule>
    <cfRule type="cellIs" dxfId="27" priority="12" operator="between">
      <formula>960</formula>
      <formula>1200</formula>
    </cfRule>
  </conditionalFormatting>
  <conditionalFormatting sqref="N14">
    <cfRule type="cellIs" dxfId="26" priority="7" operator="greaterThan">
      <formula>7200</formula>
    </cfRule>
    <cfRule type="cellIs" dxfId="25" priority="8" operator="between">
      <formula>1200</formula>
      <formula>7200</formula>
    </cfRule>
    <cfRule type="cellIs" dxfId="24" priority="9" operator="between">
      <formula>960</formula>
      <formula>1200</formula>
    </cfRule>
  </conditionalFormatting>
  <conditionalFormatting sqref="N15">
    <cfRule type="cellIs" dxfId="23" priority="4" operator="greaterThan">
      <formula>7200</formula>
    </cfRule>
    <cfRule type="cellIs" dxfId="22" priority="5" operator="between">
      <formula>1200</formula>
      <formula>7200</formula>
    </cfRule>
    <cfRule type="cellIs" dxfId="21" priority="6" operator="between">
      <formula>960</formula>
      <formula>1200</formula>
    </cfRule>
  </conditionalFormatting>
  <conditionalFormatting sqref="N9">
    <cfRule type="cellIs" dxfId="20" priority="1" operator="greaterThan">
      <formula>7200</formula>
    </cfRule>
    <cfRule type="cellIs" dxfId="19" priority="2" operator="between">
      <formula>1200</formula>
      <formula>7200</formula>
    </cfRule>
    <cfRule type="cellIs" dxfId="18" priority="3" operator="between">
      <formula>960</formula>
      <formula>1200</formula>
    </cfRule>
  </conditionalFormatting>
  <dataValidations count="1">
    <dataValidation type="decimal" errorStyle="information" operator="greaterThanOrEqual" allowBlank="1" showInputMessage="1" showErrorMessage="1" errorTitle="Whoops" error="Try a not negative number!" sqref="I3:K7 I14:K15 I9:K9">
      <formula1>0</formula1>
    </dataValidation>
  </dataValidations>
  <pageMargins left="0.7" right="0.7" top="0.75" bottom="0.75" header="0.3" footer="0.3"/>
  <pageSetup orientation="portrait" r:id="rId1"/>
  <ignoredErrors>
    <ignoredError sqref="Q4" formula="1"/>
  </ignoredErrors>
  <extLst>
    <ext xmlns:x14="http://schemas.microsoft.com/office/spreadsheetml/2009/9/main" uri="{CCE6A557-97BC-4b89-ADB6-D9C93CAAB3DF}">
      <x14:dataValidations xmlns:xm="http://schemas.microsoft.com/office/excel/2006/main" count="1">
        <x14:dataValidation type="list" allowBlank="1" showInputMessage="1" showErrorMessage="1">
          <x14:formula1>
            <xm:f>DataTables!$B$3:$B$6</xm:f>
          </x14:formula1>
          <xm:sqref>G3:G7 G14:G15 G9</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Q17"/>
  <sheetViews>
    <sheetView workbookViewId="0">
      <selection activeCell="K13" sqref="K13"/>
    </sheetView>
  </sheetViews>
  <sheetFormatPr defaultRowHeight="14.4" x14ac:dyDescent="0.3"/>
  <cols>
    <col min="1" max="1" width="5.77734375" style="10" customWidth="1"/>
    <col min="2" max="2" width="20.77734375" style="10" customWidth="1"/>
    <col min="3" max="3" width="10.77734375" style="10" customWidth="1"/>
    <col min="4" max="4" width="2.77734375" style="10" customWidth="1"/>
    <col min="5" max="5" width="10.77734375" style="10" customWidth="1"/>
    <col min="6" max="8" width="13.77734375" style="10" customWidth="1"/>
    <col min="9" max="11" width="12.77734375" style="10" customWidth="1"/>
    <col min="12" max="14" width="10.77734375" style="10" customWidth="1"/>
    <col min="15" max="16" width="8.77734375" style="10" customWidth="1"/>
    <col min="17" max="17" width="12" style="10" customWidth="1"/>
    <col min="18" max="18" width="8.44140625" style="10" bestFit="1" customWidth="1"/>
    <col min="19" max="16384" width="8.88671875" style="10"/>
  </cols>
  <sheetData>
    <row r="1" spans="2:17" ht="15" thickBot="1" x14ac:dyDescent="0.35"/>
    <row r="2" spans="2:17" ht="30" customHeight="1" thickBot="1" x14ac:dyDescent="0.35">
      <c r="B2" s="8" t="s">
        <v>9</v>
      </c>
      <c r="C2" s="100" t="s">
        <v>10</v>
      </c>
      <c r="E2" s="130" t="s">
        <v>9</v>
      </c>
      <c r="F2" s="179"/>
      <c r="G2" s="32" t="s">
        <v>12</v>
      </c>
      <c r="H2" s="64" t="s">
        <v>63</v>
      </c>
      <c r="I2" s="33" t="s">
        <v>11</v>
      </c>
      <c r="J2" s="34" t="s">
        <v>14</v>
      </c>
      <c r="K2" s="35" t="s">
        <v>19</v>
      </c>
      <c r="L2" s="33" t="s">
        <v>7</v>
      </c>
      <c r="M2" s="34" t="s">
        <v>8</v>
      </c>
      <c r="N2" s="35" t="s">
        <v>20</v>
      </c>
      <c r="O2" s="32" t="s">
        <v>42</v>
      </c>
      <c r="P2" s="64" t="s">
        <v>43</v>
      </c>
      <c r="Q2" s="66" t="s">
        <v>68</v>
      </c>
    </row>
    <row r="3" spans="2:17" ht="15" thickBot="1" x14ac:dyDescent="0.35">
      <c r="E3" s="75" t="s">
        <v>67</v>
      </c>
      <c r="F3" s="106"/>
      <c r="G3" s="150" t="s">
        <v>33</v>
      </c>
      <c r="H3" s="149" t="s">
        <v>33</v>
      </c>
      <c r="I3" s="150">
        <v>0</v>
      </c>
      <c r="J3" s="148">
        <v>0</v>
      </c>
      <c r="K3" s="149">
        <v>0</v>
      </c>
      <c r="L3" s="43">
        <f>(VLOOKUP(H3,DataTables!$B$14:$D$18,2,FALSE)*((1+I3*VLOOKUP(G3,DataTables!$B$2:$G$6,2,FALSE))-(J3*0.15)))</f>
        <v>2</v>
      </c>
      <c r="M3" s="4">
        <f>1*(1+J3*VLOOKUP(G3,DataTables!$B$2:$G$6,4,FALSE))</f>
        <v>1</v>
      </c>
      <c r="N3" s="185">
        <f>VLOOKUP(H3,DataTables!$B$14:$D$18,3,FALSE)*(1+IF((I3*VLOOKUP(G3,DataTables!$B$2:$G$6,3,FALSE)+J3*VLOOKUP(G3,DataTables!$B$2:$G$6,5,FALSE)-K3*VLOOKUP(G3,DataTables!$B$2:$G$6,6))&lt;-0.8,-0.8,(I3*VLOOKUP(G3,DataTables!$B$2:$G$6,3,FALSE)+J3*VLOOKUP(G3,DataTables!$B$2:$G$6,5,FALSE)-K3*VLOOKUP(G3,DataTables!$B$2:$G$6,6))))</f>
        <v>180</v>
      </c>
      <c r="O3" s="93">
        <f>P3*5/(L3*M3)</f>
        <v>76.700336700336692</v>
      </c>
      <c r="P3" s="94">
        <f>'Intermediate Products'!C5+'Rocket Parts'!C5</f>
        <v>30.680134680134678</v>
      </c>
      <c r="Q3" s="137">
        <f>CEILING(O3*0.5,1)</f>
        <v>39</v>
      </c>
    </row>
    <row r="4" spans="2:17" ht="15" thickBot="1" x14ac:dyDescent="0.35">
      <c r="B4" s="131" t="s">
        <v>69</v>
      </c>
      <c r="C4" s="133">
        <f>O8</f>
        <v>715.95087381754047</v>
      </c>
      <c r="E4" s="75" t="s">
        <v>62</v>
      </c>
      <c r="F4" s="106"/>
      <c r="G4" s="150" t="s">
        <v>33</v>
      </c>
      <c r="H4" s="149" t="s">
        <v>33</v>
      </c>
      <c r="I4" s="150">
        <v>0</v>
      </c>
      <c r="J4" s="148">
        <v>0</v>
      </c>
      <c r="K4" s="149">
        <v>0</v>
      </c>
      <c r="L4" s="43">
        <f>(VLOOKUP(H4,DataTables!$B$14:$D$18,2,FALSE)*((1+I4*VLOOKUP(G4,DataTables!$B$2:$G$6,2,FALSE))-(J4*0.15)))</f>
        <v>2</v>
      </c>
      <c r="M4" s="4">
        <f>1*(1+J4*VLOOKUP(G4,DataTables!$B$2:$G$6,4,FALSE))</f>
        <v>1</v>
      </c>
      <c r="N4" s="44">
        <f>VLOOKUP(H4,DataTables!$B$14:$D$18,3,FALSE)*(1+IF((I4*VLOOKUP(G4,DataTables!$B$2:$G$6,3,FALSE)+J4*VLOOKUP(G4,DataTables!$B$2:$G$6,5,FALSE)-K4*VLOOKUP(G4,DataTables!$B$2:$G$6,6))&lt;-0.8,-0.8,(I4*VLOOKUP(G4,DataTables!$B$2:$G$6,3,FALSE)+J4*VLOOKUP(G4,DataTables!$B$2:$G$6,5,FALSE)-K4*VLOOKUP(G4,DataTables!$B$2:$G$6,6))))</f>
        <v>180</v>
      </c>
      <c r="O4" s="70">
        <f>P4/(L4*M4)</f>
        <v>75.17484175084175</v>
      </c>
      <c r="P4" s="94">
        <f>O3+Oil!C5+Oil!C11+'Modules &amp; Circuits'!C19+'Intermediate Products'!C10+'Intermediate Products'!C15+'Intermediate Products'!C19</f>
        <v>150.3496835016835</v>
      </c>
      <c r="Q4" s="137">
        <f>CEILING(O4*0.5,1)</f>
        <v>38</v>
      </c>
    </row>
    <row r="5" spans="2:17" ht="15" thickBot="1" x14ac:dyDescent="0.35">
      <c r="E5" s="76" t="s">
        <v>66</v>
      </c>
      <c r="F5" s="107"/>
      <c r="G5" s="142" t="s">
        <v>33</v>
      </c>
      <c r="H5" s="144" t="s">
        <v>33</v>
      </c>
      <c r="I5" s="142">
        <v>0</v>
      </c>
      <c r="J5" s="143">
        <v>0</v>
      </c>
      <c r="K5" s="144">
        <v>0</v>
      </c>
      <c r="L5" s="67">
        <f>(VLOOKUP(H5,DataTables!$B$14:$D$18,2,FALSE)*((1+I5*VLOOKUP(G5,DataTables!$B$2:$G$6,2,FALSE))-(J5*0.15)))</f>
        <v>2</v>
      </c>
      <c r="M5" s="68">
        <f>1*(1+J5*VLOOKUP(G5,DataTables!$B$2:$G$6,4,FALSE))</f>
        <v>1</v>
      </c>
      <c r="N5" s="69">
        <f>VLOOKUP(H5,DataTables!$B$14:$D$18,3,FALSE)*(1+IF((I5*VLOOKUP(G5,DataTables!$B$2:$G$6,3,FALSE)+J5*VLOOKUP(G5,DataTables!$B$2:$G$6,5,FALSE)-K5*VLOOKUP(G5,DataTables!$B$2:$G$6,6))&lt;-0.8,-0.8,(I5*VLOOKUP(G5,DataTables!$B$2:$G$6,3,FALSE)+J5*VLOOKUP(G5,DataTables!$B$2:$G$6,5,FALSE)-K5*VLOOKUP(G5,DataTables!$B$2:$G$6,6))))</f>
        <v>180</v>
      </c>
      <c r="O5" s="5">
        <f>P5/(L5*M5)</f>
        <v>60.487682154882158</v>
      </c>
      <c r="P5" s="96">
        <f>Oil!C6+'Modules &amp; Circuits'!O8+'Modules &amp; Circuits'!O6+'Intermediate Products'!C7+'Rocket Parts'!C6</f>
        <v>120.97536430976432</v>
      </c>
      <c r="Q5" s="138">
        <f>CEILING(O5*0.5,1)</f>
        <v>31</v>
      </c>
    </row>
    <row r="6" spans="2:17" ht="15" thickBot="1" x14ac:dyDescent="0.35">
      <c r="B6" s="131" t="s">
        <v>70</v>
      </c>
      <c r="C6" s="133">
        <f>O9</f>
        <v>576.07316337983002</v>
      </c>
    </row>
    <row r="7" spans="2:17" ht="30" customHeight="1" thickBot="1" x14ac:dyDescent="0.35">
      <c r="E7" s="130" t="s">
        <v>9</v>
      </c>
      <c r="F7" s="80"/>
      <c r="G7" s="88" t="s">
        <v>12</v>
      </c>
      <c r="H7" s="129"/>
      <c r="I7" s="46" t="s">
        <v>11</v>
      </c>
      <c r="J7" s="34" t="s">
        <v>14</v>
      </c>
      <c r="K7" s="35" t="s">
        <v>19</v>
      </c>
      <c r="L7" s="33" t="s">
        <v>7</v>
      </c>
      <c r="M7" s="34" t="s">
        <v>8</v>
      </c>
      <c r="N7" s="35" t="s">
        <v>20</v>
      </c>
      <c r="O7" s="32" t="s">
        <v>42</v>
      </c>
      <c r="P7" s="64" t="s">
        <v>43</v>
      </c>
      <c r="Q7" s="88" t="s">
        <v>75</v>
      </c>
    </row>
    <row r="8" spans="2:17" x14ac:dyDescent="0.3">
      <c r="B8" s="86" t="s">
        <v>73</v>
      </c>
      <c r="C8" s="91">
        <f>N8*Q8+N9*Q9</f>
        <v>58230</v>
      </c>
      <c r="E8" s="75" t="s">
        <v>21</v>
      </c>
      <c r="F8" s="78"/>
      <c r="G8" s="151" t="s">
        <v>33</v>
      </c>
      <c r="I8" s="158">
        <v>0</v>
      </c>
      <c r="J8" s="148">
        <v>0</v>
      </c>
      <c r="K8" s="149">
        <v>0</v>
      </c>
      <c r="L8" s="43">
        <f>0.525*((1+I8*VLOOKUP(G8,DataTables!$B$2:$G$6,2,FALSE))-(J8*0.15))</f>
        <v>0.52500000000000002</v>
      </c>
      <c r="M8" s="4">
        <f>1*(1+J8*VLOOKUP(G8,DataTables!$B$2:$G$6,4,FALSE))</f>
        <v>1</v>
      </c>
      <c r="N8" s="185">
        <f>90*(1+IF((I8*VLOOKUP(G8,DataTables!$B$2:$G$6,3,FALSE)+J8*VLOOKUP(G8,DataTables!$B$2:$G$6,5,FALSE)-K8*VLOOKUP(G8,DataTables!$B$2:$G$6,6))&lt;-0.8,-0.8,(I8*VLOOKUP(G8,DataTables!$B$2:$G$6,3,FALSE)+J8*VLOOKUP(G8,DataTables!$B$2:$G$6,5,FALSE)-K8*VLOOKUP(G8,DataTables!$B$2:$G$6,6))))</f>
        <v>90</v>
      </c>
      <c r="O8" s="93">
        <f>P8*5/(L8*M8)</f>
        <v>715.95087381754047</v>
      </c>
      <c r="P8" s="94">
        <f>O4</f>
        <v>75.17484175084175</v>
      </c>
      <c r="Q8" s="135">
        <f>CEILING(O8*0.5,1)</f>
        <v>358</v>
      </c>
    </row>
    <row r="9" spans="2:17" ht="15" thickBot="1" x14ac:dyDescent="0.35">
      <c r="B9" s="87" t="s">
        <v>74</v>
      </c>
      <c r="C9" s="92">
        <f>IF(N8&lt;960,N8,IF(N8&lt;1200,N8*0.5,N8*0.2))*Q8+IF(N9&lt;960,N9,IF(N9&lt;1200,N9*0.5,N9*0.2))*Q9</f>
        <v>58230</v>
      </c>
      <c r="E9" s="76" t="s">
        <v>22</v>
      </c>
      <c r="F9" s="79"/>
      <c r="G9" s="152" t="s">
        <v>33</v>
      </c>
      <c r="I9" s="157">
        <v>0</v>
      </c>
      <c r="J9" s="143">
        <v>0</v>
      </c>
      <c r="K9" s="144">
        <v>0</v>
      </c>
      <c r="L9" s="67">
        <f>0.525*((1+I9*VLOOKUP(G9,DataTables!$B$2:$G$6,2,FALSE))-(J9*0.15))</f>
        <v>0.52500000000000002</v>
      </c>
      <c r="M9" s="68">
        <f>1*(1+J9*VLOOKUP(G9,DataTables!$B$2:$G$6,4,FALSE))</f>
        <v>1</v>
      </c>
      <c r="N9" s="69">
        <f>90*(1+IF((I9*VLOOKUP(G9,DataTables!$B$2:$G$6,3,FALSE)+J9*VLOOKUP(G9,DataTables!$B$2:$G$6,5,FALSE)-K9*VLOOKUP(G9,DataTables!$B$2:$G$6,6))&lt;-0.8,-0.8,(I9*VLOOKUP(G9,DataTables!$B$2:$G$6,3,FALSE)+J9*VLOOKUP(G9,DataTables!$B$2:$G$6,5,FALSE)-K9*VLOOKUP(G9,DataTables!$B$2:$G$6,6))))</f>
        <v>90</v>
      </c>
      <c r="O9" s="5">
        <f>P9*5/(L9*M9)</f>
        <v>576.07316337983002</v>
      </c>
      <c r="P9" s="96">
        <f>O5</f>
        <v>60.487682154882158</v>
      </c>
      <c r="Q9" s="136">
        <f>CEILING(O9*0.5,1)</f>
        <v>289</v>
      </c>
    </row>
    <row r="10" spans="2:17" ht="15" thickBot="1" x14ac:dyDescent="0.35">
      <c r="B10" s="30"/>
      <c r="N10" s="186"/>
    </row>
    <row r="11" spans="2:17" x14ac:dyDescent="0.3">
      <c r="B11" s="31"/>
      <c r="C11" s="28"/>
      <c r="E11" s="11" t="s">
        <v>82</v>
      </c>
      <c r="F11" s="7" t="s">
        <v>16</v>
      </c>
      <c r="G11" s="15" t="s">
        <v>17</v>
      </c>
      <c r="H11" s="16" t="s">
        <v>2</v>
      </c>
    </row>
    <row r="12" spans="2:17" ht="15" thickBot="1" x14ac:dyDescent="0.35">
      <c r="B12" s="30"/>
      <c r="C12" s="28"/>
      <c r="E12" s="12" t="s">
        <v>81</v>
      </c>
      <c r="F12" s="82">
        <f>I3*VLOOKUP(G3,DataTables!$B$2:$N$6,8,FALSE)+I4*VLOOKUP(G4,DataTables!$B$2:$N$6,8,FALSE)+I5*VLOOKUP(G5,DataTables!$B$2:$N$6,8,FALSE)+I8*VLOOKUP(G8,DataTables!$B$2:$N$6,8,FALSE)+I9*VLOOKUP(G9,DataTables!$B$2:$N$6,8,FALSE)+(J3+K3)*VLOOKUP(G3,DataTables!$B$2:$N$6,11,FALSE)+(J4+K4)*VLOOKUP(G4,DataTables!$B$2:$N$6,11,FALSE)+(J5+K5)*VLOOKUP(G5,DataTables!$B$2:$N$6,11,FALSE)+(J8+K8)*VLOOKUP(G8,DataTables!$B$2:$N$6,11,FALSE)+(J9+K9)*VLOOKUP(G9,DataTables!$B$2:$N$6,11,FALSE)</f>
        <v>0</v>
      </c>
      <c r="G12" s="82">
        <f>I3*VLOOKUP(G3,DataTables!$B$2:$N$6,9,FALSE)+I4*VLOOKUP(G4,DataTables!$B$2:$N$6,9,FALSE)+I5*VLOOKUP(G5,DataTables!$B$2:$N$6,9,FALSE)+I8*VLOOKUP(G8,DataTables!$B$2:$N$6,9,FALSE)+I9*VLOOKUP(G9,DataTables!$B$2:$N$6,9,FALSE)+(J3+K3)*VLOOKUP(G3,DataTables!$B$2:$N$6,12,FALSE)+(J4+K4)*VLOOKUP(G4,DataTables!$B$2:$N$6,12,FALSE)+(J5+K5)*VLOOKUP(G5,DataTables!$B$2:$N$6,12,FALSE)+(J8+K8)*VLOOKUP(G8,DataTables!$B$2:$N$6,12,FALSE)+(J9+K9)*VLOOKUP(G9,DataTables!$B$2:$N$6,12,FALSE)</f>
        <v>0</v>
      </c>
      <c r="H12" s="85">
        <f>I3*VLOOKUP(G3,DataTables!$B$2:$N$6,10,FALSE)+I4*VLOOKUP(G4,DataTables!$B$2:$N$6,10,FALSE)+I5*VLOOKUP(G5,DataTables!$B$2:$N$6,10,FALSE)+I8*VLOOKUP(G8,DataTables!$B$2:$N$6,10,FALSE)+I9*VLOOKUP(G9,DataTables!$B$2:$N$6,10,FALSE)+(J3+K3)*VLOOKUP(G3,DataTables!$B$2:$N$6,13,FALSE)+(J4+K4)*VLOOKUP(G4,DataTables!$B$2:$N$6,13,FALSE)+(J5+K5)*VLOOKUP(G5,DataTables!$B$2:$N$6,13,FALSE)+(J8+K8)*VLOOKUP(G8,DataTables!$B$2:$N$6,13,FALSE)+(J9+K9)*VLOOKUP(G9,DataTables!$B$2:$N$6,13,FALSE)</f>
        <v>0</v>
      </c>
    </row>
    <row r="13" spans="2:17" ht="15" thickBot="1" x14ac:dyDescent="0.35">
      <c r="B13" s="30"/>
    </row>
    <row r="14" spans="2:17" x14ac:dyDescent="0.3">
      <c r="E14" s="11" t="s">
        <v>83</v>
      </c>
      <c r="F14" s="7" t="s">
        <v>16</v>
      </c>
      <c r="G14" s="15" t="s">
        <v>17</v>
      </c>
      <c r="H14" s="15" t="s">
        <v>2</v>
      </c>
      <c r="I14" s="16" t="s">
        <v>64</v>
      </c>
    </row>
    <row r="15" spans="2:17" ht="15" thickBot="1" x14ac:dyDescent="0.35">
      <c r="E15" s="12" t="s">
        <v>81</v>
      </c>
      <c r="F15" s="83">
        <f>Q3*VLOOKUP(H3,DataTables!B14:I18,5,FALSE)+Q4*VLOOKUP(H4,DataTables!B14:I18,5,FALSE)+Q5*VLOOKUP(H5,DataTables!B14:I18,5,FALSE)+Q8*23+Q9*23</f>
        <v>24061</v>
      </c>
      <c r="G15" s="83">
        <f>Q3*VLOOKUP(H3,DataTables!B14:I18,6,FALSE)+Q4*VLOOKUP(H4,DataTables!B14:I18,6,FALSE)+Q5*VLOOKUP(H5,DataTables!B14:I18,6,FALSE)+Q8*4.5+Q9*4.5</f>
        <v>5611.5</v>
      </c>
      <c r="H15" s="132">
        <f>Q3*VLOOKUP(H3,DataTables!B14:I18,7,FALSE)+Q4*VLOOKUP(H4,DataTables!B14:I18,7,FALSE)+Q5*VLOOKUP(H5,DataTables!B14:I18,7,FALSE)</f>
        <v>1080</v>
      </c>
      <c r="I15" s="128">
        <f>Q3*VLOOKUP(H3,DataTables!B14:I18,8,FALSE)+Q4*VLOOKUP(H4,DataTables!B14:I18,8,FALSE)+Q5*VLOOKUP(H5,DataTables!B14:I18,8,FALSE)</f>
        <v>2160</v>
      </c>
    </row>
    <row r="16" spans="2:17" x14ac:dyDescent="0.3">
      <c r="B16" s="30"/>
    </row>
    <row r="17" spans="2:2" x14ac:dyDescent="0.3">
      <c r="B17" s="30"/>
    </row>
  </sheetData>
  <conditionalFormatting sqref="N10">
    <cfRule type="cellIs" dxfId="17" priority="16" operator="greaterThan">
      <formula>7200</formula>
    </cfRule>
    <cfRule type="cellIs" dxfId="16" priority="17" operator="between">
      <formula>1200</formula>
      <formula>7200</formula>
    </cfRule>
    <cfRule type="cellIs" dxfId="15" priority="18" operator="between">
      <formula>960</formula>
      <formula>1200</formula>
    </cfRule>
  </conditionalFormatting>
  <conditionalFormatting sqref="N3">
    <cfRule type="cellIs" dxfId="14" priority="13" operator="greaterThan">
      <formula>7200</formula>
    </cfRule>
    <cfRule type="cellIs" dxfId="13" priority="14" operator="between">
      <formula>1200</formula>
      <formula>7200</formula>
    </cfRule>
    <cfRule type="cellIs" dxfId="12" priority="15" operator="between">
      <formula>960</formula>
      <formula>1200</formula>
    </cfRule>
  </conditionalFormatting>
  <conditionalFormatting sqref="N4">
    <cfRule type="cellIs" dxfId="11" priority="10" operator="greaterThan">
      <formula>7200</formula>
    </cfRule>
    <cfRule type="cellIs" dxfId="10" priority="11" operator="between">
      <formula>1200</formula>
      <formula>7200</formula>
    </cfRule>
    <cfRule type="cellIs" dxfId="9" priority="12" operator="between">
      <formula>960</formula>
      <formula>1200</formula>
    </cfRule>
  </conditionalFormatting>
  <conditionalFormatting sqref="N5">
    <cfRule type="cellIs" dxfId="8" priority="7" operator="greaterThan">
      <formula>7200</formula>
    </cfRule>
    <cfRule type="cellIs" dxfId="7" priority="8" operator="between">
      <formula>1200</formula>
      <formula>7200</formula>
    </cfRule>
    <cfRule type="cellIs" dxfId="6" priority="9" operator="between">
      <formula>960</formula>
      <formula>1200</formula>
    </cfRule>
  </conditionalFormatting>
  <conditionalFormatting sqref="N8">
    <cfRule type="cellIs" dxfId="5" priority="4" operator="greaterThan">
      <formula>7200</formula>
    </cfRule>
    <cfRule type="cellIs" dxfId="4" priority="5" operator="between">
      <formula>1200</formula>
      <formula>7200</formula>
    </cfRule>
    <cfRule type="cellIs" dxfId="3" priority="6" operator="between">
      <formula>960</formula>
      <formula>1200</formula>
    </cfRule>
  </conditionalFormatting>
  <conditionalFormatting sqref="N9">
    <cfRule type="cellIs" dxfId="2" priority="1" operator="greaterThan">
      <formula>7200</formula>
    </cfRule>
    <cfRule type="cellIs" dxfId="1" priority="2" operator="between">
      <formula>1200</formula>
      <formula>7200</formula>
    </cfRule>
    <cfRule type="cellIs" dxfId="0" priority="3" operator="between">
      <formula>960</formula>
      <formula>1200</formula>
    </cfRule>
  </conditionalFormatting>
  <dataValidations count="1">
    <dataValidation type="decimal" errorStyle="information" operator="greaterThanOrEqual" allowBlank="1" showInputMessage="1" showErrorMessage="1" errorTitle="Whoops" error="Try a not negative number!" sqref="I3:K5 I8:K9">
      <formula1>0</formula1>
    </dataValidation>
  </dataValidations>
  <pageMargins left="0.7" right="0.7" top="0.75" bottom="0.75" header="0.3" footer="0.3"/>
  <pageSetup orientation="portrait" r:id="rId1"/>
  <extLst>
    <ext xmlns:x14="http://schemas.microsoft.com/office/spreadsheetml/2009/9/main" uri="{CCE6A557-97BC-4b89-ADB6-D9C93CAAB3DF}">
      <x14:dataValidations xmlns:xm="http://schemas.microsoft.com/office/excel/2006/main" count="2">
        <x14:dataValidation type="list" allowBlank="1" showInputMessage="1" showErrorMessage="1">
          <x14:formula1>
            <xm:f>DataTables!$B$3:$B$6</xm:f>
          </x14:formula1>
          <xm:sqref>G3:G5 G8:G9</xm:sqref>
        </x14:dataValidation>
        <x14:dataValidation type="list" allowBlank="1" showInputMessage="1" showErrorMessage="1">
          <x14:formula1>
            <xm:f>DataTables!$B$15:$B$18</xm:f>
          </x14:formula1>
          <xm:sqref>H3:H5</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N18"/>
  <sheetViews>
    <sheetView workbookViewId="0">
      <selection activeCell="J9" sqref="J9"/>
    </sheetView>
  </sheetViews>
  <sheetFormatPr defaultRowHeight="14.4" x14ac:dyDescent="0.3"/>
  <cols>
    <col min="2" max="2" width="16.109375" bestFit="1" customWidth="1"/>
  </cols>
  <sheetData>
    <row r="1" spans="2:14" x14ac:dyDescent="0.3">
      <c r="I1" t="s">
        <v>7</v>
      </c>
      <c r="L1" t="s">
        <v>80</v>
      </c>
    </row>
    <row r="2" spans="2:14" x14ac:dyDescent="0.3">
      <c r="B2" t="s">
        <v>12</v>
      </c>
      <c r="C2" t="s">
        <v>7</v>
      </c>
      <c r="D2" t="s">
        <v>20</v>
      </c>
      <c r="E2" t="s">
        <v>8</v>
      </c>
      <c r="F2" t="s">
        <v>20</v>
      </c>
      <c r="G2" t="s">
        <v>23</v>
      </c>
      <c r="I2" t="s">
        <v>16</v>
      </c>
      <c r="J2" t="s">
        <v>17</v>
      </c>
      <c r="K2" t="s">
        <v>2</v>
      </c>
      <c r="L2" t="s">
        <v>16</v>
      </c>
      <c r="M2" t="s">
        <v>17</v>
      </c>
      <c r="N2" t="s">
        <v>2</v>
      </c>
    </row>
    <row r="3" spans="2:14" x14ac:dyDescent="0.3">
      <c r="B3">
        <v>1</v>
      </c>
      <c r="C3">
        <v>0.2</v>
      </c>
      <c r="D3">
        <v>0.5</v>
      </c>
      <c r="E3">
        <v>0.04</v>
      </c>
      <c r="F3">
        <v>0.4</v>
      </c>
      <c r="G3">
        <v>0.3</v>
      </c>
      <c r="I3">
        <v>15</v>
      </c>
      <c r="J3">
        <v>32.5</v>
      </c>
      <c r="K3">
        <v>10</v>
      </c>
      <c r="L3">
        <v>15</v>
      </c>
      <c r="M3">
        <v>32.5</v>
      </c>
      <c r="N3">
        <v>10</v>
      </c>
    </row>
    <row r="4" spans="2:14" x14ac:dyDescent="0.3">
      <c r="B4">
        <v>2</v>
      </c>
      <c r="C4">
        <v>0.3</v>
      </c>
      <c r="D4">
        <v>0.6</v>
      </c>
      <c r="E4">
        <v>0.06</v>
      </c>
      <c r="F4">
        <v>0.6</v>
      </c>
      <c r="G4">
        <v>0.4</v>
      </c>
      <c r="I4">
        <v>190</v>
      </c>
      <c r="J4">
        <v>355</v>
      </c>
      <c r="K4">
        <v>70</v>
      </c>
      <c r="L4">
        <v>190</v>
      </c>
      <c r="M4">
        <v>355</v>
      </c>
      <c r="N4">
        <v>70</v>
      </c>
    </row>
    <row r="5" spans="2:14" x14ac:dyDescent="0.3">
      <c r="B5">
        <v>3</v>
      </c>
      <c r="C5">
        <v>0.5</v>
      </c>
      <c r="D5">
        <v>0.7</v>
      </c>
      <c r="E5">
        <v>0.1</v>
      </c>
      <c r="F5">
        <v>0.8</v>
      </c>
      <c r="G5">
        <v>0.5</v>
      </c>
      <c r="I5">
        <v>890</v>
      </c>
      <c r="J5">
        <v>1645</v>
      </c>
      <c r="K5">
        <v>310</v>
      </c>
      <c r="L5">
        <v>1080</v>
      </c>
      <c r="M5">
        <v>2000</v>
      </c>
      <c r="N5">
        <v>380</v>
      </c>
    </row>
    <row r="6" spans="2:14" x14ac:dyDescent="0.3">
      <c r="B6" t="s">
        <v>33</v>
      </c>
      <c r="C6">
        <f>VLOOKUP(Dashboard!$C$8,$B$2:$G$5,2,FALSE)</f>
        <v>0.5</v>
      </c>
      <c r="D6">
        <f>VLOOKUP(Dashboard!$C$8,$B$2:$G$5,3,FALSE)</f>
        <v>0.7</v>
      </c>
      <c r="E6">
        <f>VLOOKUP(Dashboard!$C$8,$B$2:$G$5,4,FALSE)</f>
        <v>0.1</v>
      </c>
      <c r="F6">
        <f>VLOOKUP(Dashboard!$C$8,$B$2:$G$5,5,FALSE)</f>
        <v>0.8</v>
      </c>
      <c r="G6">
        <f>VLOOKUP(Dashboard!$C$8,$B$2:$G$5,6,FALSE)</f>
        <v>0.5</v>
      </c>
      <c r="I6">
        <f>VLOOKUP(Dashboard!$C$8,$B$2:$N$5,8,FALSE)</f>
        <v>890</v>
      </c>
      <c r="J6">
        <f>VLOOKUP(Dashboard!$C$8,$B$2:$N$5,9,FALSE)</f>
        <v>1645</v>
      </c>
      <c r="K6">
        <f>VLOOKUP(Dashboard!$C$8,$B$2:$N$5,10,FALSE)</f>
        <v>310</v>
      </c>
      <c r="L6">
        <f>VLOOKUP(Dashboard!$C$8,$B$2:$N$5,11,FALSE)</f>
        <v>1080</v>
      </c>
      <c r="M6">
        <f>VLOOKUP(Dashboard!$C$8,$B$2:$N$5,12,FALSE)</f>
        <v>2000</v>
      </c>
      <c r="N6">
        <f>VLOOKUP(Dashboard!$C$8,$B$2:$N$5,13,FALSE)</f>
        <v>380</v>
      </c>
    </row>
    <row r="8" spans="2:14" x14ac:dyDescent="0.3">
      <c r="B8" t="s">
        <v>32</v>
      </c>
      <c r="C8" t="s">
        <v>7</v>
      </c>
      <c r="D8" t="s">
        <v>20</v>
      </c>
      <c r="F8" t="s">
        <v>77</v>
      </c>
      <c r="G8" t="s">
        <v>78</v>
      </c>
      <c r="H8" t="s">
        <v>79</v>
      </c>
    </row>
    <row r="9" spans="2:14" x14ac:dyDescent="0.3">
      <c r="B9">
        <v>1</v>
      </c>
      <c r="C9">
        <v>0.5</v>
      </c>
      <c r="D9">
        <v>90</v>
      </c>
      <c r="F9">
        <v>22</v>
      </c>
      <c r="G9">
        <v>4.5</v>
      </c>
    </row>
    <row r="10" spans="2:14" x14ac:dyDescent="0.3">
      <c r="B10">
        <v>2</v>
      </c>
      <c r="C10">
        <v>0.75</v>
      </c>
      <c r="D10">
        <v>150</v>
      </c>
      <c r="F10">
        <v>44</v>
      </c>
      <c r="G10">
        <v>9</v>
      </c>
    </row>
    <row r="11" spans="2:14" x14ac:dyDescent="0.3">
      <c r="B11">
        <v>3</v>
      </c>
      <c r="C11">
        <v>1.25</v>
      </c>
      <c r="D11">
        <v>210</v>
      </c>
      <c r="F11">
        <v>148</v>
      </c>
      <c r="G11">
        <v>148</v>
      </c>
      <c r="H11">
        <v>40</v>
      </c>
    </row>
    <row r="12" spans="2:14" x14ac:dyDescent="0.3">
      <c r="B12" t="s">
        <v>33</v>
      </c>
      <c r="C12">
        <f>VLOOKUP(Dashboard!$C$9,$B$8:$H$11,2,FALSE)</f>
        <v>1.25</v>
      </c>
      <c r="D12">
        <f>VLOOKUP(Dashboard!$C$9,$B$8:$H$11,3,FALSE)</f>
        <v>210</v>
      </c>
      <c r="F12">
        <f>VLOOKUP(Dashboard!$C$9,$B$8:$H$11,5,FALSE)</f>
        <v>148</v>
      </c>
      <c r="G12">
        <f>VLOOKUP(Dashboard!$C$9,$B$8:$H$11,6,FALSE)</f>
        <v>148</v>
      </c>
      <c r="H12">
        <f>VLOOKUP(Dashboard!$C$9,$B$8:$H$11,7,FALSE)</f>
        <v>40</v>
      </c>
    </row>
    <row r="14" spans="2:14" x14ac:dyDescent="0.3">
      <c r="B14" t="s">
        <v>63</v>
      </c>
      <c r="C14" t="s">
        <v>7</v>
      </c>
      <c r="D14" t="s">
        <v>20</v>
      </c>
      <c r="F14" t="s">
        <v>16</v>
      </c>
      <c r="G14" t="s">
        <v>17</v>
      </c>
      <c r="H14" t="s">
        <v>2</v>
      </c>
      <c r="I14" t="s">
        <v>64</v>
      </c>
    </row>
    <row r="15" spans="2:14" x14ac:dyDescent="0.3">
      <c r="B15" t="s">
        <v>64</v>
      </c>
      <c r="C15">
        <v>1</v>
      </c>
      <c r="D15">
        <v>180</v>
      </c>
      <c r="I15">
        <v>5</v>
      </c>
    </row>
    <row r="16" spans="2:14" x14ac:dyDescent="0.3">
      <c r="B16" t="s">
        <v>18</v>
      </c>
      <c r="C16">
        <v>2</v>
      </c>
      <c r="D16">
        <v>180</v>
      </c>
      <c r="F16">
        <v>40</v>
      </c>
      <c r="I16">
        <v>20</v>
      </c>
    </row>
    <row r="17" spans="2:9" x14ac:dyDescent="0.3">
      <c r="B17" t="s">
        <v>65</v>
      </c>
      <c r="C17">
        <v>2</v>
      </c>
      <c r="D17">
        <v>180</v>
      </c>
      <c r="F17">
        <v>85</v>
      </c>
      <c r="G17">
        <v>25</v>
      </c>
      <c r="H17">
        <v>10</v>
      </c>
      <c r="I17">
        <v>20</v>
      </c>
    </row>
    <row r="18" spans="2:9" x14ac:dyDescent="0.3">
      <c r="B18" t="s">
        <v>33</v>
      </c>
      <c r="C18">
        <f>VLOOKUP(Dashboard!$C$10,$B$14:$D$17,2,FALSE)</f>
        <v>2</v>
      </c>
      <c r="D18">
        <f>VLOOKUP(Dashboard!$C$10,$B$14:$D$17,3,FALSE)</f>
        <v>180</v>
      </c>
      <c r="F18">
        <f>VLOOKUP(Dashboard!$C$10,$B$14:$I$17,5,FALSE)</f>
        <v>85</v>
      </c>
      <c r="G18">
        <f>VLOOKUP(Dashboard!$C$10,$B$14:$I$17,6,FALSE)</f>
        <v>25</v>
      </c>
      <c r="H18">
        <f>VLOOKUP(Dashboard!$C$10,$B$14:$I$17,7,FALSE)</f>
        <v>10</v>
      </c>
      <c r="I18">
        <f>VLOOKUP(Dashboard!$C$10,$B$14:$I$17,8,FALSE)</f>
        <v>20</v>
      </c>
    </row>
  </sheetData>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7</vt:i4>
      </vt:variant>
    </vt:vector>
  </HeadingPairs>
  <TitlesOfParts>
    <vt:vector size="7" baseType="lpstr">
      <vt:lpstr>Dashboard</vt:lpstr>
      <vt:lpstr>Rocket Parts</vt:lpstr>
      <vt:lpstr>Intermediate Products</vt:lpstr>
      <vt:lpstr>Modules &amp; Circuits</vt:lpstr>
      <vt:lpstr>Oil</vt:lpstr>
      <vt:lpstr>Mining &amp; Smelting</vt:lpstr>
      <vt:lpstr>DataTables</vt:lpstr>
    </vt:vector>
  </TitlesOfParts>
  <Company>Bryant University</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Windows User</dc:creator>
  <cp:lastModifiedBy>Windows User</cp:lastModifiedBy>
  <dcterms:created xsi:type="dcterms:W3CDTF">2016-08-06T11:24:48Z</dcterms:created>
  <dcterms:modified xsi:type="dcterms:W3CDTF">2016-08-10T11:52:56Z</dcterms:modified>
</cp:coreProperties>
</file>