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hexaf\Documents\"/>
    </mc:Choice>
  </mc:AlternateContent>
  <xr:revisionPtr revIDLastSave="0" documentId="13_ncr:1_{0926FE58-D202-4E22-8CD0-E6F002342E36}" xr6:coauthVersionLast="47" xr6:coauthVersionMax="47" xr10:uidLastSave="{00000000-0000-0000-0000-000000000000}"/>
  <bookViews>
    <workbookView xWindow="29535" yWindow="-4740" windowWidth="26325" windowHeight="19965" xr2:uid="{00000000-000D-0000-FFFF-FFFF00000000}"/>
  </bookViews>
  <sheets>
    <sheet name="Tables" sheetId="4" r:id="rId1"/>
    <sheet name="Raw Data" sheetId="2" r:id="rId2"/>
    <sheet name="Calcs" sheetId="5" r:id="rId3"/>
    <sheet name="Testing of stuff" sheetId="1" r:id="rId4"/>
  </sheets>
  <definedNames>
    <definedName name="ModNum">'Testing of stuff'!$B$39:$D$39</definedName>
    <definedName name="ProdNum">Tables!$E$6</definedName>
    <definedName name="ProdNum2">Tables!$K$6</definedName>
    <definedName name="ProdNum3">Tables!$Q$6</definedName>
    <definedName name="QualNum">Tables!$C$6</definedName>
    <definedName name="QualNum2">Tables!$I$6</definedName>
    <definedName name="QualNum3">Tables!$O$6</definedName>
    <definedName name="SpeedNum">Tables!$D$6</definedName>
    <definedName name="SpeedNum2">Tables!$J$6</definedName>
    <definedName name="SpeedNum3">Tables!$P$6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8" i="4" l="1"/>
  <c r="S29" i="4" a="1"/>
  <c r="S29" i="4" s="1"/>
  <c r="S31" i="4"/>
  <c r="S35" i="4"/>
  <c r="S36" i="4" a="1"/>
  <c r="S36" i="4" s="1"/>
  <c r="S38" i="4"/>
  <c r="S46" i="4"/>
  <c r="S47" i="4" a="1"/>
  <c r="S47" i="4" s="1"/>
  <c r="S49" i="4"/>
  <c r="S53" i="4"/>
  <c r="S54" i="4" s="1" a="1"/>
  <c r="U17" i="4" a="1"/>
  <c r="U17" i="4" s="1"/>
  <c r="U19" i="4"/>
  <c r="AA53" i="4"/>
  <c r="Y53" i="4"/>
  <c r="Z46" i="4"/>
  <c r="AB46" i="4" s="1"/>
  <c r="AA46" i="4"/>
  <c r="Y46" i="4"/>
  <c r="AA54" i="4" a="1"/>
  <c r="AA55" i="4" s="1"/>
  <c r="Z54" i="4" a="1"/>
  <c r="Y54" i="4" a="1"/>
  <c r="AA47" i="4" a="1"/>
  <c r="AA48" i="4" s="1"/>
  <c r="Z47" i="4" a="1"/>
  <c r="N18" i="4"/>
  <c r="H18" i="4"/>
  <c r="B18" i="4"/>
  <c r="K71" i="4"/>
  <c r="F71" i="4"/>
  <c r="N33" i="1"/>
  <c r="O64" i="5" a="1"/>
  <c r="O64" i="5" s="1"/>
  <c r="K64" i="5" a="1"/>
  <c r="K64" i="5" s="1"/>
  <c r="G64" i="5" a="1"/>
  <c r="G64" i="5" s="1"/>
  <c r="C64" i="5" a="1"/>
  <c r="C64" i="5" s="1"/>
  <c r="O61" i="5" a="1"/>
  <c r="O61" i="5" s="1"/>
  <c r="K61" i="5" a="1"/>
  <c r="K61" i="5" s="1"/>
  <c r="G61" i="5" a="1"/>
  <c r="G61" i="5" s="1"/>
  <c r="C61" i="5" a="1"/>
  <c r="C61" i="5" s="1"/>
  <c r="O58" i="5" a="1"/>
  <c r="O58" i="5" s="1"/>
  <c r="K58" i="5" a="1"/>
  <c r="K58" i="5" s="1"/>
  <c r="G58" i="5" a="1"/>
  <c r="G58" i="5" s="1"/>
  <c r="C58" i="5" a="1"/>
  <c r="C58" i="5" s="1"/>
  <c r="O55" i="5" a="1"/>
  <c r="O55" i="5" s="1"/>
  <c r="K55" i="5" a="1"/>
  <c r="K55" i="5" s="1"/>
  <c r="G55" i="5" a="1"/>
  <c r="G55" i="5" s="1"/>
  <c r="C55" i="5" a="1"/>
  <c r="C55" i="5" s="1"/>
  <c r="O52" i="5" a="1"/>
  <c r="O52" i="5" s="1"/>
  <c r="K52" i="5" a="1"/>
  <c r="K52" i="5" s="1"/>
  <c r="G52" i="5" a="1"/>
  <c r="G52" i="5" s="1"/>
  <c r="C52" i="5" a="1"/>
  <c r="C52" i="5" s="1"/>
  <c r="N64" i="5" a="1"/>
  <c r="N64" i="5" s="1"/>
  <c r="J64" i="5" a="1"/>
  <c r="J64" i="5" s="1"/>
  <c r="F64" i="5" a="1"/>
  <c r="F64" i="5" s="1"/>
  <c r="B64" i="5" a="1"/>
  <c r="B64" i="5" s="1"/>
  <c r="N61" i="5" a="1"/>
  <c r="N61" i="5" s="1"/>
  <c r="J61" i="5" a="1"/>
  <c r="J61" i="5" s="1"/>
  <c r="F61" i="5" a="1"/>
  <c r="F61" i="5" s="1"/>
  <c r="B61" i="5" a="1"/>
  <c r="B61" i="5" s="1"/>
  <c r="N58" i="5" a="1"/>
  <c r="N58" i="5" s="1"/>
  <c r="J58" i="5" a="1"/>
  <c r="J58" i="5" s="1"/>
  <c r="F58" i="5" a="1"/>
  <c r="F58" i="5" s="1"/>
  <c r="B58" i="5" a="1"/>
  <c r="B58" i="5" s="1"/>
  <c r="N55" i="5" a="1"/>
  <c r="N55" i="5" s="1"/>
  <c r="J55" i="5" a="1"/>
  <c r="J55" i="5" s="1"/>
  <c r="F55" i="5" a="1"/>
  <c r="F55" i="5" s="1"/>
  <c r="B55" i="5" a="1"/>
  <c r="B55" i="5" s="1"/>
  <c r="N52" i="5" a="1"/>
  <c r="N52" i="5" s="1"/>
  <c r="J52" i="5" a="1"/>
  <c r="J52" i="5" s="1"/>
  <c r="F52" i="5" a="1"/>
  <c r="F52" i="5" s="1"/>
  <c r="B52" i="5" a="1"/>
  <c r="B52" i="5" s="1"/>
  <c r="P64" i="5" a="1"/>
  <c r="P64" i="5" s="1"/>
  <c r="L64" i="5" a="1"/>
  <c r="L64" i="5" s="1"/>
  <c r="H64" i="5" a="1"/>
  <c r="H64" i="5" s="1"/>
  <c r="D64" i="5" a="1"/>
  <c r="D64" i="5" s="1"/>
  <c r="P61" i="5" a="1"/>
  <c r="P61" i="5" s="1"/>
  <c r="L61" i="5" a="1"/>
  <c r="L61" i="5" s="1"/>
  <c r="H61" i="5" a="1"/>
  <c r="H61" i="5" s="1"/>
  <c r="D61" i="5" a="1"/>
  <c r="D61" i="5" s="1"/>
  <c r="P58" i="5" a="1"/>
  <c r="P58" i="5" s="1"/>
  <c r="L58" i="5" a="1"/>
  <c r="L58" i="5" s="1"/>
  <c r="H58" i="5" a="1"/>
  <c r="H58" i="5" s="1"/>
  <c r="D58" i="5" a="1"/>
  <c r="D58" i="5" s="1"/>
  <c r="P55" i="5" a="1"/>
  <c r="P55" i="5" s="1"/>
  <c r="L55" i="5" a="1"/>
  <c r="L55" i="5" s="1"/>
  <c r="H55" i="5" a="1"/>
  <c r="H55" i="5" s="1"/>
  <c r="D55" i="5" a="1"/>
  <c r="D55" i="5" s="1"/>
  <c r="P52" i="5" a="1"/>
  <c r="P52" i="5" s="1"/>
  <c r="L52" i="5" a="1"/>
  <c r="L52" i="5" s="1"/>
  <c r="H52" i="5" a="1"/>
  <c r="H52" i="5" s="1"/>
  <c r="D52" i="5" a="1"/>
  <c r="D52" i="5" s="1"/>
  <c r="R6" i="4"/>
  <c r="F6" i="4"/>
  <c r="L6" i="4"/>
  <c r="AH14" i="5" a="1"/>
  <c r="AH14" i="5" s="1"/>
  <c r="AD14" i="5" a="1"/>
  <c r="AD14" i="5" s="1"/>
  <c r="Z14" i="5" a="1"/>
  <c r="Z14" i="5" s="1"/>
  <c r="V14" i="5" a="1"/>
  <c r="V14" i="5" s="1"/>
  <c r="AH11" i="5" a="1"/>
  <c r="AH11" i="5" s="1"/>
  <c r="AD11" i="5" a="1"/>
  <c r="AD11" i="5" s="1"/>
  <c r="Z11" i="5" a="1"/>
  <c r="Z11" i="5" s="1"/>
  <c r="V11" i="5" a="1"/>
  <c r="V11" i="5" s="1"/>
  <c r="AH8" i="5" a="1"/>
  <c r="AH8" i="5" s="1"/>
  <c r="AD8" i="5" a="1"/>
  <c r="AD8" i="5" s="1"/>
  <c r="Z8" i="5" a="1"/>
  <c r="Z8" i="5" s="1"/>
  <c r="V8" i="5" a="1"/>
  <c r="V8" i="5" s="1"/>
  <c r="AH5" i="5" a="1"/>
  <c r="AH5" i="5" s="1"/>
  <c r="AD5" i="5" a="1"/>
  <c r="AD5" i="5" s="1"/>
  <c r="Z5" i="5" a="1"/>
  <c r="Z5" i="5" s="1"/>
  <c r="V5" i="5" a="1"/>
  <c r="V5" i="5" s="1"/>
  <c r="AH2" i="5" a="1"/>
  <c r="AH2" i="5" s="1"/>
  <c r="AD2" i="5" a="1"/>
  <c r="AD2" i="5" s="1"/>
  <c r="Z2" i="5" a="1"/>
  <c r="Z2" i="5" s="1"/>
  <c r="V2" i="5" a="1"/>
  <c r="V2" i="5" s="1"/>
  <c r="AG14" i="5" a="1"/>
  <c r="AG14" i="5" s="1"/>
  <c r="AC14" i="5" a="1"/>
  <c r="AC14" i="5" s="1"/>
  <c r="Y14" i="5" a="1"/>
  <c r="Y14" i="5" s="1"/>
  <c r="U14" i="5" a="1"/>
  <c r="U14" i="5" s="1"/>
  <c r="AG11" i="5" a="1"/>
  <c r="AG11" i="5" s="1"/>
  <c r="AC11" i="5" a="1"/>
  <c r="AC11" i="5" s="1"/>
  <c r="Y11" i="5" a="1"/>
  <c r="Y11" i="5" s="1"/>
  <c r="U11" i="5" a="1"/>
  <c r="U11" i="5" s="1"/>
  <c r="AG8" i="5" a="1"/>
  <c r="AG8" i="5" s="1"/>
  <c r="AC8" i="5" a="1"/>
  <c r="AC8" i="5" s="1"/>
  <c r="Y8" i="5" a="1"/>
  <c r="Y8" i="5" s="1"/>
  <c r="U8" i="5" a="1"/>
  <c r="U8" i="5" s="1"/>
  <c r="AG5" i="5" a="1"/>
  <c r="AG5" i="5" s="1"/>
  <c r="AC5" i="5" a="1"/>
  <c r="AC5" i="5" s="1"/>
  <c r="Y5" i="5" a="1"/>
  <c r="Y5" i="5" s="1"/>
  <c r="U5" i="5" a="1"/>
  <c r="U5" i="5" s="1"/>
  <c r="AG2" i="5" a="1"/>
  <c r="AG2" i="5" s="1"/>
  <c r="AC2" i="5" a="1"/>
  <c r="AC2" i="5" s="1"/>
  <c r="Y2" i="5" a="1"/>
  <c r="Y2" i="5" s="1"/>
  <c r="U2" i="5" a="1"/>
  <c r="U2" i="5" s="1"/>
  <c r="AF14" i="5" a="1"/>
  <c r="AF14" i="5" s="1"/>
  <c r="AB14" i="5" a="1"/>
  <c r="AB14" i="5" s="1"/>
  <c r="X14" i="5" a="1"/>
  <c r="X14" i="5" s="1"/>
  <c r="T14" i="5" a="1"/>
  <c r="T14" i="5" s="1"/>
  <c r="AF11" i="5" a="1"/>
  <c r="AF11" i="5" s="1"/>
  <c r="AB11" i="5" a="1"/>
  <c r="AB11" i="5" s="1"/>
  <c r="X11" i="5" a="1"/>
  <c r="X11" i="5" s="1"/>
  <c r="T11" i="5" a="1"/>
  <c r="T11" i="5" s="1"/>
  <c r="AF8" i="5" a="1"/>
  <c r="AF8" i="5" s="1"/>
  <c r="AB8" i="5" a="1"/>
  <c r="AB8" i="5" s="1"/>
  <c r="X8" i="5" a="1"/>
  <c r="X8" i="5" s="1"/>
  <c r="T8" i="5" a="1"/>
  <c r="T8" i="5" s="1"/>
  <c r="AF5" i="5" a="1"/>
  <c r="AF5" i="5" s="1"/>
  <c r="AB5" i="5" a="1"/>
  <c r="AB5" i="5" s="1"/>
  <c r="X5" i="5" a="1"/>
  <c r="X5" i="5" s="1"/>
  <c r="T5" i="5" a="1"/>
  <c r="T5" i="5" s="1"/>
  <c r="AF2" i="5" a="1"/>
  <c r="AF2" i="5" s="1"/>
  <c r="AB2" i="5" a="1"/>
  <c r="AB2" i="5" s="1"/>
  <c r="X2" i="5" a="1"/>
  <c r="X2" i="5" s="1"/>
  <c r="T2" i="5" a="1"/>
  <c r="T2" i="5" s="1"/>
  <c r="B2" i="5" a="1"/>
  <c r="B2" i="5" s="1"/>
  <c r="P14" i="5" a="1"/>
  <c r="P14" i="5" s="1"/>
  <c r="O14" i="5" a="1"/>
  <c r="O14" i="5" s="1"/>
  <c r="N14" i="5" a="1"/>
  <c r="N14" i="5" s="1"/>
  <c r="L14" i="5" a="1"/>
  <c r="L14" i="5" s="1"/>
  <c r="K14" i="5" a="1"/>
  <c r="K14" i="5" s="1"/>
  <c r="J14" i="5" a="1"/>
  <c r="J14" i="5" s="1"/>
  <c r="H14" i="5" a="1"/>
  <c r="H14" i="5" s="1"/>
  <c r="G14" i="5" a="1"/>
  <c r="G14" i="5" s="1"/>
  <c r="F14" i="5" a="1"/>
  <c r="F14" i="5" s="1"/>
  <c r="D14" i="5" a="1"/>
  <c r="D14" i="5" s="1"/>
  <c r="C14" i="5" a="1"/>
  <c r="C14" i="5" s="1"/>
  <c r="B14" i="5" a="1"/>
  <c r="B14" i="5" s="1"/>
  <c r="P11" i="5" a="1"/>
  <c r="P11" i="5" s="1"/>
  <c r="O11" i="5" a="1"/>
  <c r="O11" i="5" s="1"/>
  <c r="N11" i="5" a="1"/>
  <c r="N11" i="5" s="1"/>
  <c r="L11" i="5" a="1"/>
  <c r="L11" i="5" s="1"/>
  <c r="K11" i="5" a="1"/>
  <c r="K11" i="5" s="1"/>
  <c r="J11" i="5" a="1"/>
  <c r="J11" i="5" s="1"/>
  <c r="H11" i="5" a="1"/>
  <c r="H11" i="5" s="1"/>
  <c r="G11" i="5" a="1"/>
  <c r="G11" i="5" s="1"/>
  <c r="F11" i="5" a="1"/>
  <c r="F11" i="5" s="1"/>
  <c r="D11" i="5" a="1"/>
  <c r="D11" i="5" s="1"/>
  <c r="C11" i="5" a="1"/>
  <c r="C11" i="5" s="1"/>
  <c r="B11" i="5" a="1"/>
  <c r="B11" i="5" s="1"/>
  <c r="P8" i="5" a="1"/>
  <c r="P8" i="5" s="1"/>
  <c r="O8" i="5" a="1"/>
  <c r="O8" i="5" s="1"/>
  <c r="N8" i="5" a="1"/>
  <c r="N8" i="5" s="1"/>
  <c r="L8" i="5" a="1"/>
  <c r="L8" i="5" s="1"/>
  <c r="K8" i="5" a="1"/>
  <c r="K8" i="5" s="1"/>
  <c r="J8" i="5" a="1"/>
  <c r="J8" i="5" s="1"/>
  <c r="H8" i="5" a="1"/>
  <c r="H8" i="5" s="1"/>
  <c r="G8" i="5" a="1"/>
  <c r="G8" i="5" s="1"/>
  <c r="F8" i="5" a="1"/>
  <c r="F8" i="5" s="1"/>
  <c r="D8" i="5" a="1"/>
  <c r="D8" i="5" s="1"/>
  <c r="C8" i="5" a="1"/>
  <c r="C8" i="5" s="1"/>
  <c r="B8" i="5" a="1"/>
  <c r="B8" i="5" s="1"/>
  <c r="P5" i="5" a="1"/>
  <c r="P5" i="5" s="1"/>
  <c r="O5" i="5" a="1"/>
  <c r="O5" i="5" s="1"/>
  <c r="N5" i="5" a="1"/>
  <c r="N5" i="5" s="1"/>
  <c r="N2" i="5" a="1"/>
  <c r="N2" i="5" s="1"/>
  <c r="L5" i="5" a="1"/>
  <c r="L5" i="5" s="1"/>
  <c r="K5" i="5" a="1"/>
  <c r="K5" i="5" s="1"/>
  <c r="J5" i="5" a="1"/>
  <c r="J5" i="5" s="1"/>
  <c r="H5" i="5" a="1"/>
  <c r="H5" i="5" s="1"/>
  <c r="G5" i="5" a="1"/>
  <c r="G5" i="5" s="1"/>
  <c r="F5" i="5" a="1"/>
  <c r="F5" i="5" s="1"/>
  <c r="D5" i="5" a="1"/>
  <c r="D5" i="5" s="1"/>
  <c r="C5" i="5" a="1"/>
  <c r="C5" i="5" s="1"/>
  <c r="B5" i="5" a="1"/>
  <c r="B5" i="5" s="1"/>
  <c r="P2" i="5" a="1"/>
  <c r="P2" i="5" s="1"/>
  <c r="O2" i="5" a="1"/>
  <c r="O2" i="5" s="1"/>
  <c r="L2" i="5" a="1"/>
  <c r="L2" i="5" s="1"/>
  <c r="K2" i="5" a="1"/>
  <c r="K2" i="5" s="1"/>
  <c r="J2" i="5" a="1"/>
  <c r="J2" i="5" s="1"/>
  <c r="H2" i="5" a="1"/>
  <c r="H2" i="5" s="1"/>
  <c r="G2" i="5" a="1"/>
  <c r="G2" i="5" s="1"/>
  <c r="F2" i="5" a="1"/>
  <c r="F2" i="5" s="1"/>
  <c r="D2" i="5" a="1"/>
  <c r="D2" i="5" s="1"/>
  <c r="C2" i="5" a="1"/>
  <c r="C2" i="5" s="1"/>
  <c r="E39" i="1"/>
  <c r="T53" i="4"/>
  <c r="T54" i="4" s="1" a="1"/>
  <c r="R53" i="4"/>
  <c r="R54" i="4" s="1" a="1"/>
  <c r="L53" i="4"/>
  <c r="L54" i="4" s="1" a="1"/>
  <c r="K53" i="4"/>
  <c r="K54" i="4" s="1" a="1"/>
  <c r="K54" i="4" s="1"/>
  <c r="J53" i="4"/>
  <c r="J54" i="4" s="1" a="1"/>
  <c r="D53" i="4"/>
  <c r="D54" i="4" s="1" a="1"/>
  <c r="C53" i="4"/>
  <c r="C54" i="4" s="1" a="1"/>
  <c r="C54" i="4" s="1"/>
  <c r="B53" i="4"/>
  <c r="B54" i="4" s="1" a="1"/>
  <c r="T46" i="4"/>
  <c r="T47" i="4" s="1" a="1"/>
  <c r="T47" i="4" s="1"/>
  <c r="R46" i="4"/>
  <c r="L46" i="4"/>
  <c r="L47" i="4" s="1" a="1"/>
  <c r="L47" i="4" s="1"/>
  <c r="K46" i="4"/>
  <c r="K47" i="4" s="1" a="1"/>
  <c r="K47" i="4" s="1"/>
  <c r="J46" i="4"/>
  <c r="J47" i="4" s="1" a="1"/>
  <c r="D46" i="4"/>
  <c r="D47" i="4" s="1" a="1"/>
  <c r="C46" i="4"/>
  <c r="C47" i="4" s="1" a="1"/>
  <c r="C47" i="4" s="1"/>
  <c r="B46" i="4"/>
  <c r="B47" i="4" s="1" a="1"/>
  <c r="T35" i="4"/>
  <c r="T36" i="4" s="1" a="1"/>
  <c r="T36" i="4" s="1"/>
  <c r="R35" i="4"/>
  <c r="R36" i="4" a="1"/>
  <c r="L35" i="4"/>
  <c r="K35" i="4"/>
  <c r="K36" i="4" s="1" a="1"/>
  <c r="K36" i="4" s="1"/>
  <c r="J35" i="4"/>
  <c r="J36" i="4" s="1" a="1"/>
  <c r="D35" i="4"/>
  <c r="D36" i="4" s="1" a="1"/>
  <c r="D36" i="4" s="1"/>
  <c r="C35" i="4"/>
  <c r="C36" i="4" s="1" a="1"/>
  <c r="C36" i="4" s="1"/>
  <c r="B35" i="4"/>
  <c r="B36" i="4" s="1" a="1"/>
  <c r="B36" i="4" s="1"/>
  <c r="T28" i="4"/>
  <c r="T29" i="4" s="1" a="1"/>
  <c r="T29" i="4" s="1"/>
  <c r="R28" i="4"/>
  <c r="L28" i="4"/>
  <c r="L29" i="4" s="1" a="1"/>
  <c r="L29" i="4" s="1"/>
  <c r="K28" i="4"/>
  <c r="K29" i="4" s="1" a="1"/>
  <c r="K29" i="4" s="1"/>
  <c r="J28" i="4"/>
  <c r="J29" i="4" s="1" a="1"/>
  <c r="J29" i="4" s="1"/>
  <c r="B28" i="4"/>
  <c r="C28" i="4"/>
  <c r="C29" i="4" s="1" a="1"/>
  <c r="C29" i="4" s="1"/>
  <c r="D28" i="4"/>
  <c r="R29" i="4" a="1"/>
  <c r="R29" i="4" s="1"/>
  <c r="D29" i="4" a="1"/>
  <c r="B29" i="4" a="1"/>
  <c r="B29" i="4" s="1"/>
  <c r="B71" i="4"/>
  <c r="V17" i="4" a="1"/>
  <c r="T17" i="4" a="1"/>
  <c r="W16" i="4"/>
  <c r="T18" i="1" a="1"/>
  <c r="S18" i="1" a="1"/>
  <c r="S18" i="1" s="1"/>
  <c r="R18" i="1" a="1"/>
  <c r="R18" i="1" s="1"/>
  <c r="U17" i="1"/>
  <c r="T33" i="1" a="1"/>
  <c r="T33" i="1" s="1"/>
  <c r="S33" i="1" a="1"/>
  <c r="S33" i="1" s="1"/>
  <c r="R33" i="1" a="1"/>
  <c r="R33" i="1" s="1"/>
  <c r="L33" i="1" a="1"/>
  <c r="L33" i="1" s="1"/>
  <c r="K33" i="1" a="1"/>
  <c r="K33" i="1" s="1"/>
  <c r="J33" i="1" a="1"/>
  <c r="J33" i="1" s="1"/>
  <c r="D33" i="1" a="1"/>
  <c r="D33" i="1" s="1"/>
  <c r="C33" i="1" a="1"/>
  <c r="C33" i="1" s="1"/>
  <c r="B33" i="1" a="1"/>
  <c r="B33" i="1" s="1"/>
  <c r="U35" i="1"/>
  <c r="U34" i="1"/>
  <c r="U32" i="1"/>
  <c r="M32" i="1"/>
  <c r="E32" i="1"/>
  <c r="T26" i="1" a="1"/>
  <c r="T26" i="1" s="1"/>
  <c r="S26" i="1" a="1"/>
  <c r="S26" i="1" s="1"/>
  <c r="R26" i="1" a="1"/>
  <c r="R26" i="1" s="1"/>
  <c r="U25" i="1"/>
  <c r="L26" i="1" a="1"/>
  <c r="L26" i="1" s="1"/>
  <c r="K26" i="1" a="1"/>
  <c r="K26" i="1" s="1"/>
  <c r="J26" i="1" a="1"/>
  <c r="J26" i="1" s="1"/>
  <c r="M25" i="1"/>
  <c r="J19" i="1"/>
  <c r="D26" i="1" a="1"/>
  <c r="D26" i="1" s="1"/>
  <c r="C26" i="1" a="1"/>
  <c r="C26" i="1" s="1"/>
  <c r="B26" i="1" a="1"/>
  <c r="B26" i="1" s="1"/>
  <c r="E25" i="1"/>
  <c r="L10" i="1" a="1"/>
  <c r="L10" i="1" s="1"/>
  <c r="K10" i="1" a="1"/>
  <c r="K10" i="1" s="1"/>
  <c r="J10" i="1" a="1"/>
  <c r="J10" i="1" s="1"/>
  <c r="C18" i="1" a="1"/>
  <c r="C18" i="1" s="1"/>
  <c r="B18" i="1" a="1"/>
  <c r="B18" i="1" s="1"/>
  <c r="D12" i="1" a="1"/>
  <c r="D12" i="1" s="1"/>
  <c r="E12" i="1" s="1"/>
  <c r="J3" i="1"/>
  <c r="J2" i="1"/>
  <c r="D7" i="1" a="1"/>
  <c r="D7" i="1" s="1"/>
  <c r="E7" i="1" s="1"/>
  <c r="S54" i="4" l="1"/>
  <c r="S55" i="4"/>
  <c r="S56" i="4"/>
  <c r="S48" i="4"/>
  <c r="Z53" i="4"/>
  <c r="Z55" i="4" s="1"/>
  <c r="S37" i="4"/>
  <c r="U18" i="4"/>
  <c r="S30" i="4"/>
  <c r="Z47" i="4"/>
  <c r="Z49" i="4"/>
  <c r="Z48" i="4"/>
  <c r="Y56" i="4"/>
  <c r="Y55" i="4"/>
  <c r="Y54" i="4"/>
  <c r="Y47" i="4" a="1"/>
  <c r="AA56" i="4"/>
  <c r="AA47" i="4"/>
  <c r="AA49" i="4"/>
  <c r="AA54" i="4"/>
  <c r="AB53" i="4"/>
  <c r="Q64" i="5"/>
  <c r="E81" i="5" s="1"/>
  <c r="I61" i="5"/>
  <c r="C78" i="5" s="1"/>
  <c r="I55" i="5"/>
  <c r="C72" i="5" s="1"/>
  <c r="Q58" i="5"/>
  <c r="E75" i="5" s="1"/>
  <c r="M55" i="5"/>
  <c r="D72" i="5" s="1"/>
  <c r="Q61" i="5"/>
  <c r="E78" i="5" s="1"/>
  <c r="Q55" i="5"/>
  <c r="E72" i="5" s="1"/>
  <c r="I58" i="5"/>
  <c r="C75" i="5" s="1"/>
  <c r="I52" i="5"/>
  <c r="C69" i="5" s="1"/>
  <c r="M52" i="5"/>
  <c r="D69" i="5" s="1"/>
  <c r="E61" i="5"/>
  <c r="B78" i="5" s="1"/>
  <c r="M61" i="5"/>
  <c r="D78" i="5" s="1"/>
  <c r="M58" i="5"/>
  <c r="D75" i="5" s="1"/>
  <c r="M64" i="5"/>
  <c r="D81" i="5" s="1"/>
  <c r="Q52" i="5"/>
  <c r="E69" i="5" s="1"/>
  <c r="E58" i="5"/>
  <c r="B75" i="5" s="1"/>
  <c r="E55" i="5"/>
  <c r="B72" i="5" s="1"/>
  <c r="E64" i="5"/>
  <c r="B81" i="5" s="1"/>
  <c r="I64" i="5"/>
  <c r="C81" i="5" s="1"/>
  <c r="E52" i="5"/>
  <c r="B69" i="5" s="1"/>
  <c r="U28" i="1"/>
  <c r="W8" i="5"/>
  <c r="T25" i="5" s="1"/>
  <c r="AE14" i="5"/>
  <c r="V31" i="5" s="1"/>
  <c r="AE8" i="5"/>
  <c r="V25" i="5" s="1"/>
  <c r="AE2" i="5"/>
  <c r="V19" i="5" s="1"/>
  <c r="AI2" i="5"/>
  <c r="W19" i="5" s="1"/>
  <c r="AI8" i="5"/>
  <c r="W25" i="5" s="1"/>
  <c r="W2" i="5"/>
  <c r="T19" i="5" s="1"/>
  <c r="W14" i="5"/>
  <c r="T31" i="5" s="1"/>
  <c r="AA2" i="5"/>
  <c r="U19" i="5" s="1"/>
  <c r="AA8" i="5"/>
  <c r="U25" i="5" s="1"/>
  <c r="AA14" i="5"/>
  <c r="U31" i="5" s="1"/>
  <c r="AE5" i="5"/>
  <c r="V22" i="5" s="1"/>
  <c r="AE11" i="5"/>
  <c r="V28" i="5" s="1"/>
  <c r="AI14" i="5"/>
  <c r="W31" i="5" s="1"/>
  <c r="AI5" i="5"/>
  <c r="W22" i="5" s="1"/>
  <c r="AI11" i="5"/>
  <c r="W28" i="5" s="1"/>
  <c r="AA5" i="5"/>
  <c r="U22" i="5" s="1"/>
  <c r="Q11" i="5"/>
  <c r="E37" i="5" s="1"/>
  <c r="F11" i="4" s="1" a="1"/>
  <c r="M5" i="5"/>
  <c r="D25" i="5" s="1"/>
  <c r="E9" i="4" s="1" a="1"/>
  <c r="M14" i="5"/>
  <c r="D43" i="5" s="1"/>
  <c r="M11" i="5"/>
  <c r="D37" i="5" s="1"/>
  <c r="Q8" i="5"/>
  <c r="E31" i="5" s="1"/>
  <c r="Q14" i="5"/>
  <c r="E43" i="5" s="1"/>
  <c r="E5" i="5"/>
  <c r="B25" i="5" s="1"/>
  <c r="E11" i="5"/>
  <c r="B37" i="5" s="1"/>
  <c r="I5" i="5"/>
  <c r="C25" i="5" s="1"/>
  <c r="M2" i="5"/>
  <c r="D19" i="5" s="1"/>
  <c r="M8" i="5"/>
  <c r="D31" i="5" s="1"/>
  <c r="E10" i="4" s="1" a="1"/>
  <c r="Q5" i="5"/>
  <c r="E25" i="5" s="1"/>
  <c r="I11" i="5"/>
  <c r="C37" i="5" s="1"/>
  <c r="E2" i="5"/>
  <c r="B19" i="5" s="1"/>
  <c r="E14" i="5"/>
  <c r="B43" i="5" s="1"/>
  <c r="C12" i="4" s="1" a="1"/>
  <c r="Q2" i="5"/>
  <c r="E19" i="5" s="1"/>
  <c r="E8" i="5"/>
  <c r="B31" i="5" s="1"/>
  <c r="I2" i="5"/>
  <c r="C19" i="5" s="1"/>
  <c r="I8" i="5"/>
  <c r="C31" i="5" s="1"/>
  <c r="I14" i="5"/>
  <c r="C43" i="5" s="1"/>
  <c r="D20" i="1"/>
  <c r="U20" i="1"/>
  <c r="E35" i="1"/>
  <c r="M34" i="1"/>
  <c r="M35" i="1"/>
  <c r="E35" i="4"/>
  <c r="M35" i="4"/>
  <c r="U53" i="4"/>
  <c r="M46" i="4"/>
  <c r="U46" i="4"/>
  <c r="B54" i="4"/>
  <c r="D54" i="4"/>
  <c r="J54" i="4"/>
  <c r="B47" i="4"/>
  <c r="D47" i="4"/>
  <c r="J47" i="4"/>
  <c r="M47" i="4" s="1"/>
  <c r="L54" i="4"/>
  <c r="E53" i="4"/>
  <c r="R54" i="4"/>
  <c r="E46" i="4"/>
  <c r="R47" i="4" a="1"/>
  <c r="M53" i="4"/>
  <c r="T54" i="4"/>
  <c r="U35" i="4"/>
  <c r="L36" i="4" a="1"/>
  <c r="U28" i="4"/>
  <c r="U29" i="4"/>
  <c r="M28" i="4"/>
  <c r="M29" i="4"/>
  <c r="E36" i="4"/>
  <c r="E28" i="4"/>
  <c r="D29" i="4"/>
  <c r="E29" i="4" s="1"/>
  <c r="J36" i="4"/>
  <c r="R36" i="4"/>
  <c r="U36" i="4" s="1"/>
  <c r="T17" i="4"/>
  <c r="V17" i="4"/>
  <c r="U19" i="1"/>
  <c r="T18" i="1"/>
  <c r="U18" i="1" s="1"/>
  <c r="M33" i="1"/>
  <c r="E34" i="1"/>
  <c r="E33" i="1"/>
  <c r="U26" i="1"/>
  <c r="V26" i="1" s="1"/>
  <c r="U27" i="1"/>
  <c r="M27" i="1"/>
  <c r="M28" i="1"/>
  <c r="E27" i="1"/>
  <c r="E28" i="1"/>
  <c r="M12" i="1"/>
  <c r="M11" i="1"/>
  <c r="M10" i="1"/>
  <c r="N10" i="1" s="1"/>
  <c r="N11" i="1" s="1"/>
  <c r="D18" i="1"/>
  <c r="E8" i="1"/>
  <c r="E13" i="1"/>
  <c r="D19" i="1"/>
  <c r="Z56" i="4" l="1"/>
  <c r="Z54" i="4"/>
  <c r="AB55" i="4"/>
  <c r="Y49" i="4"/>
  <c r="Y48" i="4"/>
  <c r="AB48" i="4" s="1"/>
  <c r="Y47" i="4"/>
  <c r="AB47" i="4" s="1"/>
  <c r="AB49" i="4"/>
  <c r="AB56" i="4"/>
  <c r="AB54" i="4"/>
  <c r="E12" i="4" a="1"/>
  <c r="F9" i="4" a="1"/>
  <c r="F10" i="4" a="1"/>
  <c r="E11" i="4" a="1"/>
  <c r="C8" i="4" a="1"/>
  <c r="F8" i="4" a="1"/>
  <c r="D10" i="4" a="1"/>
  <c r="D12" i="4" a="1"/>
  <c r="D9" i="4" a="1"/>
  <c r="D8" i="4" a="1"/>
  <c r="C9" i="4" a="1"/>
  <c r="C10" i="4" a="1"/>
  <c r="D11" i="4" a="1"/>
  <c r="E8" i="4" a="1"/>
  <c r="C11" i="4" a="1"/>
  <c r="F12" i="4" a="1"/>
  <c r="E18" i="1"/>
  <c r="H21" i="5" a="1"/>
  <c r="B45" i="1" a="1"/>
  <c r="H25" i="5" a="1"/>
  <c r="I23" i="5" a="1"/>
  <c r="E45" i="1" a="1"/>
  <c r="K25" i="5" a="1"/>
  <c r="J24" i="5" a="1"/>
  <c r="K24" i="5" a="1"/>
  <c r="I24" i="5" a="1"/>
  <c r="K22" i="5" a="1"/>
  <c r="D43" i="1" a="1"/>
  <c r="J23" i="5" a="1"/>
  <c r="I22" i="5" a="1"/>
  <c r="H23" i="5" a="1"/>
  <c r="J22" i="5" a="1"/>
  <c r="J21" i="5" a="1"/>
  <c r="H24" i="5" a="1"/>
  <c r="I25" i="5" a="1"/>
  <c r="I21" i="5" a="1"/>
  <c r="H22" i="5" a="1"/>
  <c r="K23" i="5" a="1"/>
  <c r="J25" i="5" a="1"/>
  <c r="E41" i="1" a="1"/>
  <c r="K21" i="5" a="1"/>
  <c r="W11" i="5"/>
  <c r="T28" i="5" s="1"/>
  <c r="AA11" i="5"/>
  <c r="U28" i="5" s="1"/>
  <c r="W5" i="5"/>
  <c r="T22" i="5" s="1"/>
  <c r="B43" i="1" a="1"/>
  <c r="D45" i="1" a="1"/>
  <c r="D42" i="1" a="1"/>
  <c r="E44" i="1" a="1"/>
  <c r="E42" i="1" a="1"/>
  <c r="C42" i="1" a="1"/>
  <c r="C45" i="1" a="1"/>
  <c r="B42" i="1" a="1"/>
  <c r="C44" i="1" a="1"/>
  <c r="D41" i="1" a="1"/>
  <c r="C43" i="1" a="1"/>
  <c r="C41" i="1" a="1"/>
  <c r="B44" i="1" a="1"/>
  <c r="E43" i="1" a="1"/>
  <c r="D44" i="1" a="1"/>
  <c r="B41" i="1" a="1"/>
  <c r="N34" i="1"/>
  <c r="F33" i="1"/>
  <c r="F34" i="1" s="1"/>
  <c r="V18" i="1"/>
  <c r="V19" i="1" s="1"/>
  <c r="R47" i="4"/>
  <c r="U47" i="4" s="1"/>
  <c r="U54" i="4"/>
  <c r="E47" i="4"/>
  <c r="M54" i="4"/>
  <c r="E54" i="4"/>
  <c r="L36" i="4"/>
  <c r="M36" i="4" s="1"/>
  <c r="W17" i="4"/>
  <c r="U33" i="1"/>
  <c r="V33" i="1" s="1"/>
  <c r="V34" i="1" s="1"/>
  <c r="V27" i="1"/>
  <c r="M26" i="1"/>
  <c r="N26" i="1" s="1"/>
  <c r="N27" i="1" s="1"/>
  <c r="E26" i="1"/>
  <c r="F26" i="1" s="1"/>
  <c r="F27" i="1" s="1"/>
  <c r="E19" i="1"/>
  <c r="AC54" i="4" l="1"/>
  <c r="AC55" i="4" s="1"/>
  <c r="AC47" i="4"/>
  <c r="AC48" i="4" s="1"/>
  <c r="T35" i="1"/>
  <c r="T34" i="1"/>
  <c r="S35" i="1"/>
  <c r="S34" i="1"/>
  <c r="R35" i="1"/>
  <c r="R34" i="1"/>
  <c r="L35" i="1"/>
  <c r="L34" i="1"/>
  <c r="K35" i="1"/>
  <c r="K34" i="1"/>
  <c r="J35" i="1"/>
  <c r="J34" i="1"/>
  <c r="D35" i="1"/>
  <c r="D34" i="1"/>
  <c r="C35" i="1"/>
  <c r="C34" i="1"/>
  <c r="B35" i="1"/>
  <c r="B34" i="1"/>
  <c r="T28" i="1"/>
  <c r="T27" i="1"/>
  <c r="S28" i="1"/>
  <c r="S27" i="1"/>
  <c r="R28" i="1"/>
  <c r="R27" i="1"/>
  <c r="L28" i="1"/>
  <c r="L27" i="1"/>
  <c r="K28" i="1"/>
  <c r="K27" i="1"/>
  <c r="J28" i="1"/>
  <c r="J27" i="1"/>
  <c r="D28" i="1"/>
  <c r="D27" i="1"/>
  <c r="C28" i="1"/>
  <c r="C27" i="1"/>
  <c r="B28" i="1"/>
  <c r="B27" i="1"/>
  <c r="T20" i="1"/>
  <c r="T19" i="1"/>
  <c r="S20" i="1"/>
  <c r="S19" i="1"/>
  <c r="R20" i="1"/>
  <c r="R19" i="1"/>
  <c r="C20" i="1"/>
  <c r="C19" i="1"/>
  <c r="B20" i="1"/>
  <c r="B19" i="1"/>
  <c r="D14" i="1"/>
  <c r="D13" i="1"/>
  <c r="L12" i="1"/>
  <c r="L11" i="1"/>
  <c r="K12" i="1"/>
  <c r="K11" i="1"/>
  <c r="J12" i="1"/>
  <c r="J11" i="1"/>
  <c r="D9" i="1"/>
  <c r="D8" i="1"/>
  <c r="P66" i="5"/>
  <c r="P65" i="5"/>
  <c r="O66" i="5"/>
  <c r="O65" i="5"/>
  <c r="N66" i="5"/>
  <c r="N65" i="5"/>
  <c r="L66" i="5"/>
  <c r="L65" i="5"/>
  <c r="K66" i="5"/>
  <c r="K65" i="5"/>
  <c r="J66" i="5"/>
  <c r="J65" i="5"/>
  <c r="H66" i="5"/>
  <c r="H65" i="5"/>
  <c r="G66" i="5"/>
  <c r="G65" i="5"/>
  <c r="F66" i="5"/>
  <c r="I66" i="5" s="1"/>
  <c r="C83" i="5" s="1"/>
  <c r="F65" i="5"/>
  <c r="D66" i="5"/>
  <c r="D65" i="5"/>
  <c r="C66" i="5"/>
  <c r="C65" i="5"/>
  <c r="B66" i="5"/>
  <c r="B65" i="5"/>
  <c r="P63" i="5"/>
  <c r="P62" i="5"/>
  <c r="O63" i="5"/>
  <c r="O62" i="5"/>
  <c r="N63" i="5"/>
  <c r="N62" i="5"/>
  <c r="L63" i="5"/>
  <c r="L62" i="5"/>
  <c r="K63" i="5"/>
  <c r="K62" i="5"/>
  <c r="J63" i="5"/>
  <c r="J62" i="5"/>
  <c r="H63" i="5"/>
  <c r="H62" i="5"/>
  <c r="G63" i="5"/>
  <c r="G62" i="5"/>
  <c r="F63" i="5"/>
  <c r="F62" i="5"/>
  <c r="D63" i="5"/>
  <c r="D62" i="5"/>
  <c r="C63" i="5"/>
  <c r="C62" i="5"/>
  <c r="B63" i="5"/>
  <c r="B62" i="5"/>
  <c r="E62" i="5" s="1"/>
  <c r="B79" i="5" s="1"/>
  <c r="P60" i="5"/>
  <c r="P59" i="5"/>
  <c r="O60" i="5"/>
  <c r="O59" i="5"/>
  <c r="N60" i="5"/>
  <c r="N59" i="5"/>
  <c r="L60" i="5"/>
  <c r="L59" i="5"/>
  <c r="K60" i="5"/>
  <c r="K59" i="5"/>
  <c r="J60" i="5"/>
  <c r="J59" i="5"/>
  <c r="H60" i="5"/>
  <c r="H59" i="5"/>
  <c r="G60" i="5"/>
  <c r="G59" i="5"/>
  <c r="F60" i="5"/>
  <c r="I60" i="5" s="1"/>
  <c r="C77" i="5" s="1"/>
  <c r="F59" i="5"/>
  <c r="D60" i="5"/>
  <c r="D59" i="5"/>
  <c r="C60" i="5"/>
  <c r="C59" i="5"/>
  <c r="B60" i="5"/>
  <c r="B59" i="5"/>
  <c r="P57" i="5"/>
  <c r="P56" i="5"/>
  <c r="O57" i="5"/>
  <c r="O56" i="5"/>
  <c r="N57" i="5"/>
  <c r="N56" i="5"/>
  <c r="L57" i="5"/>
  <c r="L56" i="5"/>
  <c r="K57" i="5"/>
  <c r="K56" i="5"/>
  <c r="J57" i="5"/>
  <c r="J56" i="5"/>
  <c r="H57" i="5"/>
  <c r="H56" i="5"/>
  <c r="G57" i="5"/>
  <c r="G56" i="5"/>
  <c r="F57" i="5"/>
  <c r="F56" i="5"/>
  <c r="D57" i="5"/>
  <c r="D56" i="5"/>
  <c r="C57" i="5"/>
  <c r="C56" i="5"/>
  <c r="B57" i="5"/>
  <c r="B56" i="5"/>
  <c r="E56" i="5" s="1"/>
  <c r="B73" i="5" s="1"/>
  <c r="P54" i="5"/>
  <c r="P53" i="5"/>
  <c r="O54" i="5"/>
  <c r="O53" i="5"/>
  <c r="N54" i="5"/>
  <c r="N53" i="5"/>
  <c r="L54" i="5"/>
  <c r="L53" i="5"/>
  <c r="K54" i="5"/>
  <c r="K53" i="5"/>
  <c r="J54" i="5"/>
  <c r="J53" i="5"/>
  <c r="H54" i="5"/>
  <c r="H53" i="5"/>
  <c r="G54" i="5"/>
  <c r="G53" i="5"/>
  <c r="F54" i="5"/>
  <c r="I54" i="5" s="1"/>
  <c r="C71" i="5" s="1"/>
  <c r="F53" i="5"/>
  <c r="D54" i="5"/>
  <c r="D53" i="5"/>
  <c r="C54" i="5"/>
  <c r="C53" i="5"/>
  <c r="B54" i="5"/>
  <c r="B53" i="5"/>
  <c r="AH16" i="5"/>
  <c r="AH15" i="5"/>
  <c r="AG16" i="5"/>
  <c r="AG15" i="5"/>
  <c r="AF16" i="5"/>
  <c r="AF15" i="5"/>
  <c r="AD16" i="5"/>
  <c r="AD15" i="5"/>
  <c r="AC16" i="5"/>
  <c r="AC15" i="5"/>
  <c r="AB16" i="5"/>
  <c r="AB15" i="5"/>
  <c r="Z16" i="5"/>
  <c r="Z15" i="5"/>
  <c r="Y16" i="5"/>
  <c r="Y15" i="5"/>
  <c r="X16" i="5"/>
  <c r="X15" i="5"/>
  <c r="V16" i="5"/>
  <c r="V15" i="5"/>
  <c r="U16" i="5"/>
  <c r="U15" i="5"/>
  <c r="T16" i="5"/>
  <c r="T15" i="5"/>
  <c r="P16" i="5"/>
  <c r="P15" i="5"/>
  <c r="O16" i="5"/>
  <c r="O15" i="5"/>
  <c r="N16" i="5"/>
  <c r="N15" i="5"/>
  <c r="L16" i="5"/>
  <c r="L15" i="5"/>
  <c r="K16" i="5"/>
  <c r="K15" i="5"/>
  <c r="J16" i="5"/>
  <c r="J15" i="5"/>
  <c r="H16" i="5"/>
  <c r="H15" i="5"/>
  <c r="G16" i="5"/>
  <c r="G15" i="5"/>
  <c r="F16" i="5"/>
  <c r="I16" i="5" s="1"/>
  <c r="C47" i="5" s="1"/>
  <c r="F15" i="5"/>
  <c r="D16" i="5"/>
  <c r="D15" i="5"/>
  <c r="C16" i="5"/>
  <c r="C15" i="5"/>
  <c r="B16" i="5"/>
  <c r="B15" i="5"/>
  <c r="AH13" i="5"/>
  <c r="AH12" i="5"/>
  <c r="AG13" i="5"/>
  <c r="AG12" i="5"/>
  <c r="AF13" i="5"/>
  <c r="AF12" i="5"/>
  <c r="AI12" i="5" s="1"/>
  <c r="W29" i="5" s="1"/>
  <c r="AD13" i="5"/>
  <c r="AD12" i="5"/>
  <c r="AC13" i="5"/>
  <c r="AC12" i="5"/>
  <c r="AB13" i="5"/>
  <c r="AB12" i="5"/>
  <c r="Z13" i="5"/>
  <c r="Z12" i="5"/>
  <c r="Y13" i="5"/>
  <c r="Y12" i="5"/>
  <c r="X13" i="5"/>
  <c r="X12" i="5"/>
  <c r="V13" i="5"/>
  <c r="V12" i="5"/>
  <c r="U13" i="5"/>
  <c r="U12" i="5"/>
  <c r="T13" i="5"/>
  <c r="T12" i="5"/>
  <c r="P13" i="5"/>
  <c r="P12" i="5"/>
  <c r="O13" i="5"/>
  <c r="O12" i="5"/>
  <c r="N13" i="5"/>
  <c r="N12" i="5"/>
  <c r="L13" i="5"/>
  <c r="L12" i="5"/>
  <c r="K13" i="5"/>
  <c r="K12" i="5"/>
  <c r="J13" i="5"/>
  <c r="J12" i="5"/>
  <c r="H13" i="5"/>
  <c r="H12" i="5"/>
  <c r="G13" i="5"/>
  <c r="G12" i="5"/>
  <c r="F13" i="5"/>
  <c r="I13" i="5" s="1"/>
  <c r="C41" i="5" s="1"/>
  <c r="F12" i="5"/>
  <c r="D13" i="5"/>
  <c r="D12" i="5"/>
  <c r="C13" i="5"/>
  <c r="C12" i="5"/>
  <c r="B13" i="5"/>
  <c r="B12" i="5"/>
  <c r="AH10" i="5"/>
  <c r="AH9" i="5"/>
  <c r="AG10" i="5"/>
  <c r="AG9" i="5"/>
  <c r="AF10" i="5"/>
  <c r="AF9" i="5"/>
  <c r="AI9" i="5" s="1"/>
  <c r="W26" i="5" s="1"/>
  <c r="AD10" i="5"/>
  <c r="AD9" i="5"/>
  <c r="AC10" i="5"/>
  <c r="AC9" i="5"/>
  <c r="AB10" i="5"/>
  <c r="AB9" i="5"/>
  <c r="Z10" i="5"/>
  <c r="Z9" i="5"/>
  <c r="Y10" i="5"/>
  <c r="Y9" i="5"/>
  <c r="X10" i="5"/>
  <c r="X9" i="5"/>
  <c r="V10" i="5"/>
  <c r="V9" i="5"/>
  <c r="U10" i="5"/>
  <c r="U9" i="5"/>
  <c r="T10" i="5"/>
  <c r="T9" i="5"/>
  <c r="P10" i="5"/>
  <c r="P9" i="5"/>
  <c r="O10" i="5"/>
  <c r="O9" i="5"/>
  <c r="N10" i="5"/>
  <c r="N9" i="5"/>
  <c r="L10" i="5"/>
  <c r="L9" i="5"/>
  <c r="K10" i="5"/>
  <c r="K9" i="5"/>
  <c r="J10" i="5"/>
  <c r="J9" i="5"/>
  <c r="H10" i="5"/>
  <c r="H9" i="5"/>
  <c r="G10" i="5"/>
  <c r="G9" i="5"/>
  <c r="F10" i="5"/>
  <c r="I10" i="5" s="1"/>
  <c r="C35" i="5" s="1"/>
  <c r="F9" i="5"/>
  <c r="D10" i="5"/>
  <c r="D9" i="5"/>
  <c r="C10" i="5"/>
  <c r="C9" i="5"/>
  <c r="B10" i="5"/>
  <c r="B9" i="5"/>
  <c r="AH7" i="5"/>
  <c r="AH6" i="5"/>
  <c r="AG7" i="5"/>
  <c r="AG6" i="5"/>
  <c r="AF7" i="5"/>
  <c r="AF6" i="5"/>
  <c r="AI6" i="5" s="1"/>
  <c r="W23" i="5" s="1"/>
  <c r="AD7" i="5"/>
  <c r="AD6" i="5"/>
  <c r="AC7" i="5"/>
  <c r="AC6" i="5"/>
  <c r="AB7" i="5"/>
  <c r="AB6" i="5"/>
  <c r="Z7" i="5"/>
  <c r="Z6" i="5"/>
  <c r="Y7" i="5"/>
  <c r="Y6" i="5"/>
  <c r="X7" i="5"/>
  <c r="AA7" i="5" s="1"/>
  <c r="U24" i="5" s="1"/>
  <c r="X6" i="5"/>
  <c r="V7" i="5"/>
  <c r="V6" i="5"/>
  <c r="U7" i="5"/>
  <c r="U6" i="5"/>
  <c r="T7" i="5"/>
  <c r="T6" i="5"/>
  <c r="W6" i="5" s="1"/>
  <c r="T23" i="5" s="1"/>
  <c r="P7" i="5"/>
  <c r="P6" i="5"/>
  <c r="O7" i="5"/>
  <c r="O6" i="5"/>
  <c r="N7" i="5"/>
  <c r="N6" i="5"/>
  <c r="L7" i="5"/>
  <c r="L6" i="5"/>
  <c r="K7" i="5"/>
  <c r="K6" i="5"/>
  <c r="J7" i="5"/>
  <c r="J6" i="5"/>
  <c r="H7" i="5"/>
  <c r="H6" i="5"/>
  <c r="G7" i="5"/>
  <c r="G6" i="5"/>
  <c r="F7" i="5"/>
  <c r="I7" i="5" s="1"/>
  <c r="C29" i="5" s="1"/>
  <c r="F6" i="5"/>
  <c r="D7" i="5"/>
  <c r="D6" i="5"/>
  <c r="C7" i="5"/>
  <c r="C6" i="5"/>
  <c r="B7" i="5"/>
  <c r="B6" i="5"/>
  <c r="AH4" i="5"/>
  <c r="AH3" i="5"/>
  <c r="AG4" i="5"/>
  <c r="AG3" i="5"/>
  <c r="AF4" i="5"/>
  <c r="AF3" i="5"/>
  <c r="AI3" i="5" s="1"/>
  <c r="W20" i="5" s="1"/>
  <c r="AD4" i="5"/>
  <c r="AD3" i="5"/>
  <c r="AC4" i="5"/>
  <c r="AC3" i="5"/>
  <c r="AB4" i="5"/>
  <c r="AB3" i="5"/>
  <c r="Z4" i="5"/>
  <c r="Z3" i="5"/>
  <c r="Y4" i="5"/>
  <c r="Y3" i="5"/>
  <c r="X4" i="5"/>
  <c r="X3" i="5"/>
  <c r="V4" i="5"/>
  <c r="V3" i="5"/>
  <c r="U4" i="5"/>
  <c r="U3" i="5"/>
  <c r="T4" i="5"/>
  <c r="T3" i="5"/>
  <c r="W3" i="5" s="1"/>
  <c r="T20" i="5" s="1"/>
  <c r="P4" i="5"/>
  <c r="P3" i="5"/>
  <c r="O4" i="5"/>
  <c r="O3" i="5"/>
  <c r="N4" i="5"/>
  <c r="N3" i="5"/>
  <c r="L4" i="5"/>
  <c r="L3" i="5"/>
  <c r="K4" i="5"/>
  <c r="K3" i="5"/>
  <c r="J4" i="5"/>
  <c r="J3" i="5"/>
  <c r="H4" i="5"/>
  <c r="H3" i="5"/>
  <c r="G4" i="5"/>
  <c r="G3" i="5"/>
  <c r="F4" i="5"/>
  <c r="I4" i="5" s="1"/>
  <c r="C23" i="5" s="1"/>
  <c r="F3" i="5"/>
  <c r="D4" i="5"/>
  <c r="D3" i="5"/>
  <c r="C4" i="5"/>
  <c r="C3" i="5"/>
  <c r="B4" i="5"/>
  <c r="B3" i="5"/>
  <c r="V19" i="4"/>
  <c r="W19" i="4" s="1"/>
  <c r="X17" i="4" s="1"/>
  <c r="X18" i="4" s="1"/>
  <c r="V18" i="4"/>
  <c r="T19" i="4"/>
  <c r="T18" i="4"/>
  <c r="W18" i="4" s="1"/>
  <c r="T56" i="4"/>
  <c r="T55" i="4"/>
  <c r="R56" i="4"/>
  <c r="U56" i="4" s="1"/>
  <c r="V54" i="4" s="1"/>
  <c r="R55" i="4"/>
  <c r="U55" i="4" s="1"/>
  <c r="L56" i="4"/>
  <c r="L55" i="4"/>
  <c r="K56" i="4"/>
  <c r="K55" i="4"/>
  <c r="J56" i="4"/>
  <c r="J55" i="4"/>
  <c r="M55" i="4" s="1"/>
  <c r="D56" i="4"/>
  <c r="D55" i="4"/>
  <c r="C56" i="4"/>
  <c r="C55" i="4"/>
  <c r="B56" i="4"/>
  <c r="B55" i="4"/>
  <c r="E55" i="4" s="1"/>
  <c r="T49" i="4"/>
  <c r="T48" i="4"/>
  <c r="R49" i="4"/>
  <c r="U49" i="4" s="1"/>
  <c r="V47" i="4" s="1"/>
  <c r="R48" i="4"/>
  <c r="U48" i="4" s="1"/>
  <c r="L49" i="4"/>
  <c r="L48" i="4"/>
  <c r="K49" i="4"/>
  <c r="K48" i="4"/>
  <c r="J49" i="4"/>
  <c r="M49" i="4" s="1"/>
  <c r="N47" i="4" s="1"/>
  <c r="J48" i="4"/>
  <c r="M48" i="4" s="1"/>
  <c r="D49" i="4"/>
  <c r="D48" i="4"/>
  <c r="C49" i="4"/>
  <c r="C48" i="4"/>
  <c r="B49" i="4"/>
  <c r="E49" i="4" s="1"/>
  <c r="F47" i="4" s="1"/>
  <c r="B48" i="4"/>
  <c r="E48" i="4" s="1"/>
  <c r="T38" i="4"/>
  <c r="U38" i="4" s="1"/>
  <c r="V36" i="4" s="1"/>
  <c r="T37" i="4"/>
  <c r="U37" i="4" s="1"/>
  <c r="R38" i="4"/>
  <c r="R37" i="4"/>
  <c r="L38" i="4"/>
  <c r="M38" i="4" s="1"/>
  <c r="N36" i="4" s="1"/>
  <c r="N37" i="4" s="1"/>
  <c r="L37" i="4"/>
  <c r="M37" i="4" s="1"/>
  <c r="K38" i="4"/>
  <c r="K37" i="4"/>
  <c r="J38" i="4"/>
  <c r="J37" i="4"/>
  <c r="D38" i="4"/>
  <c r="E38" i="4" s="1"/>
  <c r="F36" i="4" s="1"/>
  <c r="F37" i="4" s="1"/>
  <c r="D37" i="4"/>
  <c r="E37" i="4" s="1"/>
  <c r="C38" i="4"/>
  <c r="C37" i="4"/>
  <c r="B38" i="4"/>
  <c r="B37" i="4"/>
  <c r="T31" i="4"/>
  <c r="U31" i="4" s="1"/>
  <c r="V29" i="4" s="1"/>
  <c r="T30" i="4"/>
  <c r="U30" i="4" s="1"/>
  <c r="R31" i="4"/>
  <c r="R30" i="4"/>
  <c r="L31" i="4"/>
  <c r="M31" i="4" s="1"/>
  <c r="N29" i="4" s="1"/>
  <c r="L30" i="4"/>
  <c r="M30" i="4" s="1"/>
  <c r="K31" i="4"/>
  <c r="K30" i="4"/>
  <c r="J31" i="4"/>
  <c r="J30" i="4"/>
  <c r="D31" i="4"/>
  <c r="E31" i="4" s="1"/>
  <c r="F29" i="4" s="1"/>
  <c r="F30" i="4" s="1"/>
  <c r="D30" i="4"/>
  <c r="E30" i="4" s="1"/>
  <c r="C31" i="4"/>
  <c r="C30" i="4"/>
  <c r="B31" i="4"/>
  <c r="B30" i="4"/>
  <c r="V30" i="4" l="1"/>
  <c r="Q56" i="5"/>
  <c r="E73" i="5" s="1"/>
  <c r="I63" i="5"/>
  <c r="C80" i="5" s="1"/>
  <c r="I57" i="5"/>
  <c r="C74" i="5" s="1"/>
  <c r="Q62" i="5"/>
  <c r="E79" i="5" s="1"/>
  <c r="AA4" i="5"/>
  <c r="U21" i="5" s="1"/>
  <c r="AA16" i="5"/>
  <c r="U33" i="5" s="1"/>
  <c r="E56" i="4"/>
  <c r="F54" i="4" s="1"/>
  <c r="F55" i="4" s="1"/>
  <c r="V48" i="4"/>
  <c r="F48" i="4"/>
  <c r="V55" i="4"/>
  <c r="M56" i="4"/>
  <c r="N54" i="4" s="1"/>
  <c r="N55" i="4" s="1"/>
  <c r="N48" i="4"/>
  <c r="AI15" i="5"/>
  <c r="W32" i="5" s="1"/>
  <c r="V37" i="4"/>
  <c r="N30" i="4"/>
  <c r="AA10" i="5"/>
  <c r="U27" i="5" s="1"/>
  <c r="W9" i="5"/>
  <c r="T26" i="5" s="1"/>
  <c r="W12" i="5"/>
  <c r="T29" i="5" s="1"/>
  <c r="W15" i="5"/>
  <c r="T32" i="5" s="1"/>
  <c r="AA13" i="5"/>
  <c r="U30" i="5" s="1"/>
  <c r="AE3" i="5"/>
  <c r="V20" i="5" s="1"/>
  <c r="AE6" i="5"/>
  <c r="V23" i="5" s="1"/>
  <c r="AE9" i="5"/>
  <c r="V26" i="5" s="1"/>
  <c r="AE12" i="5"/>
  <c r="V29" i="5" s="1"/>
  <c r="AE15" i="5"/>
  <c r="V32" i="5" s="1"/>
  <c r="M56" i="5"/>
  <c r="D73" i="5" s="1"/>
  <c r="M62" i="5"/>
  <c r="D79" i="5" s="1"/>
  <c r="C44" i="1"/>
  <c r="AE4" i="5"/>
  <c r="V21" i="5" s="1"/>
  <c r="AE7" i="5"/>
  <c r="V24" i="5" s="1"/>
  <c r="AE10" i="5"/>
  <c r="V27" i="5" s="1"/>
  <c r="AE13" i="5"/>
  <c r="V30" i="5" s="1"/>
  <c r="AE16" i="5"/>
  <c r="V33" i="5" s="1"/>
  <c r="M57" i="5"/>
  <c r="D74" i="5" s="1"/>
  <c r="M63" i="5"/>
  <c r="D80" i="5" s="1"/>
  <c r="I3" i="5"/>
  <c r="C21" i="5" s="1"/>
  <c r="I21" i="5" s="1"/>
  <c r="I6" i="5"/>
  <c r="C27" i="5" s="1"/>
  <c r="I22" i="5" s="1"/>
  <c r="I9" i="5"/>
  <c r="C33" i="5" s="1"/>
  <c r="D10" i="4" s="1"/>
  <c r="I12" i="5"/>
  <c r="C39" i="5" s="1"/>
  <c r="D11" i="4" s="1"/>
  <c r="I15" i="5"/>
  <c r="C45" i="5" s="1"/>
  <c r="D12" i="4" s="1"/>
  <c r="I53" i="5"/>
  <c r="C70" i="5" s="1"/>
  <c r="I59" i="5"/>
  <c r="C76" i="5" s="1"/>
  <c r="I75" i="5" s="1"/>
  <c r="O72" i="5" s="1"/>
  <c r="P10" i="4" s="1"/>
  <c r="I65" i="5"/>
  <c r="C82" i="5" s="1"/>
  <c r="I81" i="5" s="1"/>
  <c r="O74" i="5" s="1"/>
  <c r="P12" i="4" s="1"/>
  <c r="C42" i="1"/>
  <c r="E3" i="5"/>
  <c r="B21" i="5" s="1"/>
  <c r="E6" i="5"/>
  <c r="B27" i="5" s="1"/>
  <c r="E9" i="5"/>
  <c r="B33" i="5" s="1"/>
  <c r="E12" i="5"/>
  <c r="B39" i="5" s="1"/>
  <c r="E15" i="5"/>
  <c r="B45" i="5" s="1"/>
  <c r="E53" i="5"/>
  <c r="B70" i="5" s="1"/>
  <c r="E59" i="5"/>
  <c r="B76" i="5" s="1"/>
  <c r="E65" i="5"/>
  <c r="B82" i="5" s="1"/>
  <c r="E4" i="5"/>
  <c r="B23" i="5" s="1"/>
  <c r="E7" i="5"/>
  <c r="B29" i="5" s="1"/>
  <c r="E10" i="5"/>
  <c r="B35" i="5" s="1"/>
  <c r="E13" i="5"/>
  <c r="B41" i="5" s="1"/>
  <c r="E16" i="5"/>
  <c r="B47" i="5" s="1"/>
  <c r="E54" i="5"/>
  <c r="B71" i="5" s="1"/>
  <c r="E60" i="5"/>
  <c r="B77" i="5" s="1"/>
  <c r="E66" i="5"/>
  <c r="B83" i="5" s="1"/>
  <c r="I25" i="5"/>
  <c r="Q3" i="5"/>
  <c r="E21" i="5" s="1"/>
  <c r="Q6" i="5"/>
  <c r="E27" i="5" s="1"/>
  <c r="Q9" i="5"/>
  <c r="E33" i="5" s="1"/>
  <c r="Q12" i="5"/>
  <c r="E39" i="5" s="1"/>
  <c r="Q15" i="5"/>
  <c r="E45" i="5" s="1"/>
  <c r="Q53" i="5"/>
  <c r="E70" i="5" s="1"/>
  <c r="Q59" i="5"/>
  <c r="E76" i="5" s="1"/>
  <c r="Q65" i="5"/>
  <c r="E82" i="5" s="1"/>
  <c r="I23" i="5"/>
  <c r="Q4" i="5"/>
  <c r="E23" i="5" s="1"/>
  <c r="Q7" i="5"/>
  <c r="E29" i="5" s="1"/>
  <c r="Q10" i="5"/>
  <c r="E35" i="5" s="1"/>
  <c r="Q13" i="5"/>
  <c r="E41" i="5" s="1"/>
  <c r="Q16" i="5"/>
  <c r="E47" i="5" s="1"/>
  <c r="Q54" i="5"/>
  <c r="E71" i="5" s="1"/>
  <c r="Q60" i="5"/>
  <c r="E77" i="5" s="1"/>
  <c r="Q66" i="5"/>
  <c r="E83" i="5" s="1"/>
  <c r="W4" i="5"/>
  <c r="T21" i="5" s="1"/>
  <c r="Z20" i="5" s="1"/>
  <c r="AF20" i="5" s="1"/>
  <c r="I8" i="4" s="1"/>
  <c r="W7" i="5"/>
  <c r="T24" i="5" s="1"/>
  <c r="Z22" i="5" s="1"/>
  <c r="AF21" i="5" s="1"/>
  <c r="I9" i="4" s="1"/>
  <c r="W10" i="5"/>
  <c r="T27" i="5" s="1"/>
  <c r="W13" i="5"/>
  <c r="T30" i="5" s="1"/>
  <c r="Z28" i="5" s="1"/>
  <c r="AF23" i="5" s="1"/>
  <c r="I11" i="4" s="1"/>
  <c r="W16" i="5"/>
  <c r="T33" i="5" s="1"/>
  <c r="E57" i="5"/>
  <c r="B74" i="5" s="1"/>
  <c r="H72" i="5" s="1"/>
  <c r="N71" i="5" s="1"/>
  <c r="O9" i="4" s="1"/>
  <c r="E63" i="5"/>
  <c r="B80" i="5" s="1"/>
  <c r="H78" i="5" s="1"/>
  <c r="N73" i="5" s="1"/>
  <c r="O11" i="4" s="1"/>
  <c r="AI4" i="5"/>
  <c r="W21" i="5" s="1"/>
  <c r="AC20" i="5" s="1"/>
  <c r="AI20" i="5" s="1"/>
  <c r="L8" i="4" s="1"/>
  <c r="AI7" i="5"/>
  <c r="W24" i="5" s="1"/>
  <c r="AC22" i="5" s="1"/>
  <c r="AI21" i="5" s="1"/>
  <c r="L9" i="4" s="1"/>
  <c r="AI10" i="5"/>
  <c r="W27" i="5" s="1"/>
  <c r="AC25" i="5" s="1"/>
  <c r="AI22" i="5" s="1"/>
  <c r="L10" i="4" s="1"/>
  <c r="AI13" i="5"/>
  <c r="W30" i="5" s="1"/>
  <c r="AC28" i="5" s="1"/>
  <c r="AI23" i="5" s="1"/>
  <c r="L11" i="4" s="1"/>
  <c r="AI16" i="5"/>
  <c r="W33" i="5" s="1"/>
  <c r="Q57" i="5"/>
  <c r="E74" i="5" s="1"/>
  <c r="K72" i="5" s="1"/>
  <c r="Q71" i="5" s="1"/>
  <c r="R9" i="4" s="1"/>
  <c r="Q63" i="5"/>
  <c r="E80" i="5" s="1"/>
  <c r="K78" i="5" s="1"/>
  <c r="Q73" i="5" s="1"/>
  <c r="R11" i="4" s="1"/>
  <c r="M3" i="5"/>
  <c r="D21" i="5" s="1"/>
  <c r="M6" i="5"/>
  <c r="D27" i="5" s="1"/>
  <c r="M9" i="5"/>
  <c r="D33" i="5" s="1"/>
  <c r="M12" i="5"/>
  <c r="D39" i="5" s="1"/>
  <c r="M15" i="5"/>
  <c r="D45" i="5" s="1"/>
  <c r="M53" i="5"/>
  <c r="D70" i="5" s="1"/>
  <c r="M59" i="5"/>
  <c r="D76" i="5" s="1"/>
  <c r="M65" i="5"/>
  <c r="D82" i="5" s="1"/>
  <c r="M4" i="5"/>
  <c r="D23" i="5" s="1"/>
  <c r="M7" i="5"/>
  <c r="D29" i="5" s="1"/>
  <c r="M10" i="5"/>
  <c r="D35" i="5" s="1"/>
  <c r="M13" i="5"/>
  <c r="D41" i="5" s="1"/>
  <c r="M16" i="5"/>
  <c r="D47" i="5" s="1"/>
  <c r="M54" i="5"/>
  <c r="D71" i="5" s="1"/>
  <c r="M60" i="5"/>
  <c r="D77" i="5" s="1"/>
  <c r="M66" i="5"/>
  <c r="D83" i="5" s="1"/>
  <c r="I70" i="5"/>
  <c r="O70" i="5" s="1"/>
  <c r="P8" i="4" s="1"/>
  <c r="AA3" i="5"/>
  <c r="U20" i="5" s="1"/>
  <c r="AA20" i="5" s="1"/>
  <c r="AG20" i="5" s="1"/>
  <c r="J8" i="4" s="1"/>
  <c r="AA6" i="5"/>
  <c r="U23" i="5" s="1"/>
  <c r="AA22" i="5" s="1"/>
  <c r="AG21" i="5" s="1"/>
  <c r="J9" i="4" s="1"/>
  <c r="AA9" i="5"/>
  <c r="U26" i="5" s="1"/>
  <c r="AA12" i="5"/>
  <c r="U29" i="5" s="1"/>
  <c r="AA15" i="5"/>
  <c r="U32" i="5" s="1"/>
  <c r="I56" i="5"/>
  <c r="C73" i="5" s="1"/>
  <c r="I72" i="5" s="1"/>
  <c r="O71" i="5" s="1"/>
  <c r="P9" i="4" s="1"/>
  <c r="I62" i="5"/>
  <c r="C79" i="5" s="1"/>
  <c r="I78" i="5" l="1"/>
  <c r="O73" i="5" s="1"/>
  <c r="P11" i="4" s="1"/>
  <c r="AA31" i="5"/>
  <c r="AG24" i="5" s="1"/>
  <c r="J12" i="4" s="1"/>
  <c r="C41" i="1"/>
  <c r="AC31" i="5"/>
  <c r="AI24" i="5" s="1"/>
  <c r="L12" i="4" s="1"/>
  <c r="D8" i="4"/>
  <c r="AB20" i="5"/>
  <c r="AH20" i="5" s="1"/>
  <c r="K8" i="4" s="1"/>
  <c r="AB25" i="5"/>
  <c r="AH22" i="5" s="1"/>
  <c r="K10" i="4" s="1"/>
  <c r="AB22" i="5"/>
  <c r="AH21" i="5" s="1"/>
  <c r="K9" i="4" s="1"/>
  <c r="Z25" i="5"/>
  <c r="AF22" i="5" s="1"/>
  <c r="I10" i="4" s="1"/>
  <c r="AA25" i="5"/>
  <c r="AG22" i="5" s="1"/>
  <c r="J10" i="4" s="1"/>
  <c r="AA28" i="5"/>
  <c r="AG23" i="5" s="1"/>
  <c r="J11" i="4" s="1"/>
  <c r="Z31" i="5"/>
  <c r="AF24" i="5" s="1"/>
  <c r="I12" i="4" s="1"/>
  <c r="AB28" i="5"/>
  <c r="AH23" i="5" s="1"/>
  <c r="K11" i="4" s="1"/>
  <c r="J72" i="5"/>
  <c r="P71" i="5" s="1"/>
  <c r="Q9" i="4" s="1"/>
  <c r="J78" i="5"/>
  <c r="P73" i="5" s="1"/>
  <c r="Q11" i="4" s="1"/>
  <c r="H70" i="5"/>
  <c r="N70" i="5" s="1"/>
  <c r="O8" i="4" s="1"/>
  <c r="AB31" i="5"/>
  <c r="AH24" i="5" s="1"/>
  <c r="K12" i="4" s="1"/>
  <c r="J70" i="5"/>
  <c r="P70" i="5" s="1"/>
  <c r="Q8" i="4" s="1"/>
  <c r="D9" i="4"/>
  <c r="I24" i="5"/>
  <c r="C43" i="1"/>
  <c r="C45" i="1"/>
  <c r="J75" i="5"/>
  <c r="P72" i="5" s="1"/>
  <c r="Q10" i="4" s="1"/>
  <c r="J25" i="5"/>
  <c r="D45" i="1"/>
  <c r="E12" i="4"/>
  <c r="K22" i="5"/>
  <c r="F9" i="4"/>
  <c r="E42" i="1"/>
  <c r="E11" i="4"/>
  <c r="J24" i="5"/>
  <c r="D44" i="1"/>
  <c r="E10" i="4"/>
  <c r="D43" i="1"/>
  <c r="J23" i="5"/>
  <c r="F11" i="4"/>
  <c r="E44" i="1"/>
  <c r="K24" i="5"/>
  <c r="K23" i="5"/>
  <c r="E43" i="1"/>
  <c r="F10" i="4"/>
  <c r="B44" i="1"/>
  <c r="H24" i="5"/>
  <c r="C11" i="4"/>
  <c r="E9" i="4"/>
  <c r="J22" i="5"/>
  <c r="D42" i="1"/>
  <c r="C8" i="4"/>
  <c r="B41" i="1"/>
  <c r="H21" i="5"/>
  <c r="C12" i="4"/>
  <c r="B45" i="1"/>
  <c r="H25" i="5"/>
  <c r="H23" i="5"/>
  <c r="C10" i="4"/>
  <c r="B43" i="1"/>
  <c r="K81" i="5"/>
  <c r="Q74" i="5" s="1"/>
  <c r="R12" i="4" s="1"/>
  <c r="K75" i="5"/>
  <c r="Q72" i="5" s="1"/>
  <c r="R10" i="4" s="1"/>
  <c r="B42" i="1"/>
  <c r="H22" i="5"/>
  <c r="C9" i="4"/>
  <c r="K70" i="5"/>
  <c r="Q70" i="5" s="1"/>
  <c r="R8" i="4" s="1"/>
  <c r="H81" i="5"/>
  <c r="N74" i="5" s="1"/>
  <c r="O12" i="4" s="1"/>
  <c r="F8" i="4"/>
  <c r="K21" i="5"/>
  <c r="E41" i="1"/>
  <c r="D41" i="1"/>
  <c r="E8" i="4"/>
  <c r="J21" i="5"/>
  <c r="J81" i="5"/>
  <c r="P74" i="5" s="1"/>
  <c r="Q12" i="4" s="1"/>
  <c r="E45" i="1"/>
  <c r="K25" i="5"/>
  <c r="F12" i="4"/>
  <c r="H75" i="5"/>
  <c r="N72" i="5" s="1"/>
  <c r="O10" i="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<sst xmlns="http://schemas.openxmlformats.org/spreadsheetml/2006/main" count="668" uniqueCount="119">
  <si>
    <t>speed</t>
  </si>
  <si>
    <t>speed%</t>
  </si>
  <si>
    <t>qual%-</t>
  </si>
  <si>
    <t>speed%+</t>
  </si>
  <si>
    <t>qual</t>
  </si>
  <si>
    <t>Qual</t>
  </si>
  <si>
    <t>qual%+</t>
  </si>
  <si>
    <t>speed%-</t>
  </si>
  <si>
    <t>Prod</t>
  </si>
  <si>
    <t>PROD%+</t>
  </si>
  <si>
    <t>Speed</t>
  </si>
  <si>
    <t>SpeedTable</t>
  </si>
  <si>
    <t>Qual%</t>
  </si>
  <si>
    <t>11</t>
  </si>
  <si>
    <t>12</t>
  </si>
  <si>
    <t>13</t>
  </si>
  <si>
    <t>14</t>
  </si>
  <si>
    <t>15</t>
  </si>
  <si>
    <t>21</t>
  </si>
  <si>
    <t>22</t>
  </si>
  <si>
    <t>23</t>
  </si>
  <si>
    <t>24</t>
  </si>
  <si>
    <t>25</t>
  </si>
  <si>
    <t>31</t>
  </si>
  <si>
    <t>32</t>
  </si>
  <si>
    <t>33</t>
  </si>
  <si>
    <t>34</t>
  </si>
  <si>
    <t>35</t>
  </si>
  <si>
    <t>4speed1</t>
  </si>
  <si>
    <t>output</t>
  </si>
  <si>
    <t>4qual1</t>
  </si>
  <si>
    <t>prod</t>
  </si>
  <si>
    <t>4qual1 plus 1speed1</t>
  </si>
  <si>
    <t>1speed1</t>
  </si>
  <si>
    <t>total</t>
  </si>
  <si>
    <t>qualitem</t>
  </si>
  <si>
    <t>item</t>
  </si>
  <si>
    <t>`</t>
  </si>
  <si>
    <t>Prod%</t>
  </si>
  <si>
    <t>2qual1 plus 1speed1 plus 1prod</t>
  </si>
  <si>
    <t>1prod1</t>
  </si>
  <si>
    <t># of mod</t>
  </si>
  <si>
    <t>beacon calculator:</t>
  </si>
  <si>
    <t># of beacons</t>
  </si>
  <si>
    <t>distribution%</t>
  </si>
  <si>
    <t># of mods</t>
  </si>
  <si>
    <t>"total" mods</t>
  </si>
  <si>
    <t>Level1 qual 1 Calc</t>
  </si>
  <si>
    <t>Level2 qual 1 Calc</t>
  </si>
  <si>
    <t>Level3 qual 1 Calc</t>
  </si>
  <si>
    <t>Level1 qual 2 Calc</t>
  </si>
  <si>
    <t>Level2 qual 2 Calc</t>
  </si>
  <si>
    <t>Level3 qual 2 Calc</t>
  </si>
  <si>
    <t>Linked # of Mods:</t>
  </si>
  <si>
    <t>qual1</t>
  </si>
  <si>
    <t>speed1</t>
  </si>
  <si>
    <t>prod1</t>
  </si>
  <si>
    <t>qual2</t>
  </si>
  <si>
    <t>speed2</t>
  </si>
  <si>
    <t>prod2</t>
  </si>
  <si>
    <t>qual3</t>
  </si>
  <si>
    <t>speed3</t>
  </si>
  <si>
    <t>prod3</t>
  </si>
  <si>
    <t>LEVEL 1</t>
  </si>
  <si>
    <t>LEVEL 2</t>
  </si>
  <si>
    <t>LEVEL 3</t>
  </si>
  <si>
    <t>QUAL 1</t>
  </si>
  <si>
    <t>QUAL 2</t>
  </si>
  <si>
    <t>level 1</t>
  </si>
  <si>
    <t>level 2</t>
  </si>
  <si>
    <t>level 3</t>
  </si>
  <si>
    <t>qual 1</t>
  </si>
  <si>
    <t>qual 2</t>
  </si>
  <si>
    <t>qual 3</t>
  </si>
  <si>
    <t>level 3*</t>
  </si>
  <si>
    <t>qual 4</t>
  </si>
  <si>
    <t>qual 5</t>
  </si>
  <si>
    <t>level 3, speed2</t>
  </si>
  <si>
    <t>Background calcs for table</t>
  </si>
  <si>
    <t>level</t>
  </si>
  <si>
    <t>calculation is:</t>
  </si>
  <si>
    <t>qual items/timeframe = total output * qual%</t>
  </si>
  <si>
    <t>total output = 100*speed*productivity</t>
  </si>
  <si>
    <t>calc for table:</t>
  </si>
  <si>
    <t>100*speed*productivity*qual%</t>
  </si>
  <si>
    <t>qual 1 speed</t>
  </si>
  <si>
    <t>qual 1 qual</t>
  </si>
  <si>
    <t>qual 1 prod</t>
  </si>
  <si>
    <t>1</t>
  </si>
  <si>
    <t>2</t>
  </si>
  <si>
    <t>3</t>
  </si>
  <si>
    <t>4</t>
  </si>
  <si>
    <t>where @=N,U,R,E,L and #=1,2,3,4</t>
  </si>
  <si>
    <t>!100*(1+Speed@[#])*(1+Prod@[#])*Qual@[#]</t>
  </si>
  <si>
    <t>qual4</t>
  </si>
  <si>
    <t>qual5</t>
  </si>
  <si>
    <t>this one uses named tables, but that makes it imposible to duplicate</t>
  </si>
  <si>
    <t>this one uses cell politions, meaning it should be able to be duplicated</t>
  </si>
  <si>
    <t>Calculator 1</t>
  </si>
  <si>
    <t>Calculator 2</t>
  </si>
  <si>
    <t># of modules in a beacon calculator:</t>
  </si>
  <si>
    <t>Two calculators that show the math for normal and uncommon modules at all 3 levels (the highlighted cell shows that instead of speed3, it is speed2</t>
  </si>
  <si>
    <t>Calculator 3</t>
  </si>
  <si>
    <t>Data pulled from wiki.factorio.com</t>
  </si>
  <si>
    <t>first digit is level, second digit is quality. yes it would be better to just have separate tables, but sunk cost falacy has struck again</t>
  </si>
  <si>
    <t>doesn’t include energy cost or pollution increase</t>
  </si>
  <si>
    <t>#2</t>
  </si>
  <si>
    <t>this one uses cell positions, meaning you can duplicate it (then use local replace to fix the input module #s)</t>
  </si>
  <si>
    <t>level3* = level 3 modules except for speed, which is level 2. this calculation is added since the ratio between speed and quality loss is higher for speed3's</t>
  </si>
  <si>
    <t>Output of the calculators below are in # of quality items per unit of time, with the assumtion of a default output of 100 items per unit of time. (this was done to make it easier to read and so that they can be read as % of output.)</t>
  </si>
  <si>
    <t>All three calculators are independent so that you can easily compare and contrast different builds</t>
  </si>
  <si>
    <t>default production per unit time</t>
  </si>
  <si>
    <t>output items per unit time</t>
  </si>
  <si>
    <t>quality items per unit time</t>
  </si>
  <si>
    <t>type</t>
  </si>
  <si>
    <r>
      <t xml:space="preserve">Single calculator for level 1 modules. change the </t>
    </r>
    <r>
      <rPr>
        <sz val="11"/>
        <color rgb="FFFF0000"/>
        <rFont val="Calibri"/>
        <family val="2"/>
        <scheme val="minor"/>
      </rPr>
      <t>red</t>
    </r>
    <r>
      <rPr>
        <sz val="11"/>
        <color theme="1"/>
        <rFont val="Calibri"/>
        <family val="2"/>
        <scheme val="minor"/>
      </rPr>
      <t xml:space="preserve"> cells to change the module type</t>
    </r>
  </si>
  <si>
    <t># of mods (max is:</t>
  </si>
  <si>
    <t># of modules</t>
  </si>
  <si>
    <t>"total" modules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</si>
</sst>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ED4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CBCB"/>
        <bgColor indexed="64"/>
      </patternFill>
    </fill>
  </fills>
  <borders count="4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64" fontId="0" fillId="0" borderId="0" xfId="0" applyNumberFormat="1"/>
    <xf numFmtId="164" fontId="0" fillId="2" borderId="1" xfId="0" applyNumberFormat="1" applyFill="1" applyBorder="1"/>
    <xf numFmtId="164" fontId="0" fillId="0" borderId="1" xfId="0" applyNumberFormat="1" applyBorder="1"/>
    <xf numFmtId="164" fontId="0" fillId="2" borderId="4" xfId="0" applyNumberFormat="1" applyFill="1" applyBorder="1"/>
    <xf numFmtId="164" fontId="0" fillId="0" borderId="4" xfId="0" applyNumberFormat="1" applyBorder="1"/>
    <xf numFmtId="0" fontId="1" fillId="0" borderId="5" xfId="0" applyFont="1" applyBorder="1"/>
    <xf numFmtId="0" fontId="1" fillId="0" borderId="3" xfId="0" applyFont="1" applyBorder="1"/>
    <xf numFmtId="0" fontId="1" fillId="0" borderId="6" xfId="0" applyFont="1" applyBorder="1"/>
    <xf numFmtId="164" fontId="0" fillId="0" borderId="2" xfId="0" applyNumberFormat="1" applyBorder="1"/>
    <xf numFmtId="164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164" fontId="0" fillId="2" borderId="12" xfId="0" applyNumberFormat="1" applyFill="1" applyBorder="1"/>
    <xf numFmtId="164" fontId="0" fillId="0" borderId="13" xfId="0" applyNumberForma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164" fontId="0" fillId="0" borderId="15" xfId="0" applyNumberFormat="1" applyBorder="1"/>
    <xf numFmtId="164" fontId="0" fillId="0" borderId="16" xfId="0" applyNumberFormat="1" applyBorder="1"/>
    <xf numFmtId="0" fontId="0" fillId="3" borderId="24" xfId="0" applyFill="1" applyBorder="1"/>
    <xf numFmtId="0" fontId="0" fillId="3" borderId="25" xfId="0" applyFill="1" applyBorder="1"/>
    <xf numFmtId="0" fontId="0" fillId="3" borderId="26" xfId="0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4" borderId="0" xfId="0" applyFill="1"/>
    <xf numFmtId="0" fontId="0" fillId="0" borderId="0" xfId="0" applyAlignment="1">
      <alignment horizontal="right"/>
    </xf>
    <xf numFmtId="164" fontId="0" fillId="0" borderId="43" xfId="0" applyNumberFormat="1" applyBorder="1"/>
    <xf numFmtId="164" fontId="0" fillId="0" borderId="44" xfId="0" applyNumberFormat="1" applyBorder="1"/>
    <xf numFmtId="164" fontId="0" fillId="0" borderId="45" xfId="0" applyNumberFormat="1" applyBorder="1"/>
    <xf numFmtId="164" fontId="0" fillId="5" borderId="11" xfId="0" applyNumberFormat="1" applyFill="1" applyBorder="1"/>
    <xf numFmtId="164" fontId="0" fillId="5" borderId="0" xfId="0" applyNumberFormat="1" applyFill="1"/>
    <xf numFmtId="164" fontId="0" fillId="5" borderId="19" xfId="0" applyNumberFormat="1" applyFill="1" applyBorder="1"/>
    <xf numFmtId="164" fontId="0" fillId="6" borderId="11" xfId="0" applyNumberFormat="1" applyFill="1" applyBorder="1"/>
    <xf numFmtId="164" fontId="0" fillId="6" borderId="0" xfId="0" applyNumberFormat="1" applyFill="1"/>
    <xf numFmtId="164" fontId="0" fillId="6" borderId="19" xfId="0" applyNumberFormat="1" applyFill="1" applyBorder="1"/>
    <xf numFmtId="164" fontId="0" fillId="7" borderId="10" xfId="0" applyNumberFormat="1" applyFill="1" applyBorder="1"/>
    <xf numFmtId="164" fontId="0" fillId="7" borderId="8" xfId="0" applyNumberFormat="1" applyFill="1" applyBorder="1"/>
    <xf numFmtId="164" fontId="0" fillId="7" borderId="17" xfId="0" applyNumberFormat="1" applyFill="1" applyBorder="1"/>
    <xf numFmtId="164" fontId="0" fillId="7" borderId="11" xfId="0" applyNumberFormat="1" applyFill="1" applyBorder="1"/>
    <xf numFmtId="164" fontId="0" fillId="7" borderId="0" xfId="0" applyNumberFormat="1" applyFill="1"/>
    <xf numFmtId="164" fontId="0" fillId="7" borderId="19" xfId="0" applyNumberFormat="1" applyFill="1" applyBorder="1"/>
    <xf numFmtId="0" fontId="0" fillId="6" borderId="16" xfId="0" applyFill="1" applyBorder="1"/>
    <xf numFmtId="0" fontId="0" fillId="8" borderId="19" xfId="0" applyFill="1" applyBorder="1"/>
    <xf numFmtId="0" fontId="0" fillId="5" borderId="19" xfId="0" applyFill="1" applyBorder="1"/>
    <xf numFmtId="0" fontId="0" fillId="9" borderId="19" xfId="0" applyFill="1" applyBorder="1"/>
    <xf numFmtId="0" fontId="0" fillId="10" borderId="17" xfId="0" applyFill="1" applyBorder="1"/>
    <xf numFmtId="0" fontId="0" fillId="6" borderId="9" xfId="0" applyFill="1" applyBorder="1"/>
    <xf numFmtId="0" fontId="0" fillId="6" borderId="20" xfId="0" applyFill="1" applyBorder="1"/>
    <xf numFmtId="0" fontId="0" fillId="8" borderId="21" xfId="0" applyFill="1" applyBorder="1"/>
    <xf numFmtId="0" fontId="0" fillId="5" borderId="21" xfId="0" applyFill="1" applyBorder="1"/>
    <xf numFmtId="0" fontId="0" fillId="9" borderId="21" xfId="0" applyFill="1" applyBorder="1"/>
    <xf numFmtId="0" fontId="0" fillId="10" borderId="18" xfId="0" applyFill="1" applyBorder="1"/>
    <xf numFmtId="164" fontId="0" fillId="0" borderId="11" xfId="0" applyNumberFormat="1" applyBorder="1"/>
    <xf numFmtId="164" fontId="0" fillId="0" borderId="19" xfId="0" applyNumberFormat="1" applyBorder="1"/>
    <xf numFmtId="164" fontId="0" fillId="0" borderId="10" xfId="0" applyNumberFormat="1" applyBorder="1"/>
    <xf numFmtId="164" fontId="0" fillId="0" borderId="8" xfId="0" applyNumberFormat="1" applyBorder="1"/>
    <xf numFmtId="164" fontId="0" fillId="0" borderId="17" xfId="0" applyNumberFormat="1" applyBorder="1"/>
    <xf numFmtId="164" fontId="0" fillId="0" borderId="14" xfId="0" applyNumberFormat="1" applyBorder="1"/>
    <xf numFmtId="0" fontId="0" fillId="10" borderId="21" xfId="0" applyFill="1" applyBorder="1"/>
    <xf numFmtId="0" fontId="0" fillId="11" borderId="0" xfId="0" applyFill="1"/>
    <xf numFmtId="164" fontId="0" fillId="11" borderId="0" xfId="0" applyNumberFormat="1" applyFill="1"/>
  </cellXfs>
  <cellStyles count="1">
    <cellStyle name="Normal" xfId="0" builtinId="0"/>
  </cellStyles>
  <dxfs count="129"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numFmt numFmtId="164" formatCode="0.000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fill>
        <patternFill patternType="none">
          <fgColor indexed="64"/>
          <bgColor auto="1"/>
        </patternFill>
      </fill>
      <border diagonalUp="0" diagonalDown="0" outline="0">
        <left style="thin">
          <color theme="6" tint="0.39997558519241921"/>
        </left>
        <right/>
        <top style="thin">
          <color theme="6" tint="0.39997558519241921"/>
        </top>
        <bottom style="thin">
          <color theme="6" tint="0.39997558519241921"/>
        </bottom>
      </border>
    </dxf>
    <dxf>
      <border outline="0">
        <top style="thin">
          <color theme="6" tint="0.39997558519241921"/>
        </top>
      </border>
    </dxf>
    <dxf>
      <border outline="0">
        <top style="thin">
          <color theme="4" tint="0.39997558519241921"/>
        </top>
        <bottom style="thin">
          <color theme="6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</dxfs>
  <tableStyles count="0" defaultPivotStyle="PivotStyleLight16"/>
  <colors>
    <mruColors>
      <color rgb="FFE7CBCB"/>
      <color rgb="FFFFB3B3"/>
      <color rgb="FFEED4F0"/>
      <color rgb="FFE2B5E5"/>
      <color rgb="FFEC9BFF"/>
      <color rgb="FFFF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41FF83-2FA6-4581-96ED-54F091215EFA}" name="Table1" displayName="Table1" ref="A2:D17" totalsRowShown="0">
  <autoFilter ref="A2:D17" xr:uid="{6741FF83-2FA6-4581-96ED-54F091215EFA}"/>
  <tableColumns count="4">
    <tableColumn id="1" xr3:uid="{BBE260DE-5947-4524-A13E-B466839395BA}" name="speed%+" dataDxfId="128"/>
    <tableColumn id="2" xr3:uid="{D94A8C7B-38FE-4D2A-AA6F-2D066AE1F088}" name="qual%-" dataDxfId="127"/>
    <tableColumn id="3" xr3:uid="{D9E1352A-4673-45F0-8960-B725C273794B}" name="level"/>
    <tableColumn id="4" xr3:uid="{7419D0E5-76CB-4C63-B0B1-836616D1837E}" name="qu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A06295-82C5-4C3E-BADB-865408AB8D9E}" name="Table2" displayName="Table2" ref="F2:I17" totalsRowShown="0">
  <autoFilter ref="F2:I17" xr:uid="{A1A06295-82C5-4C3E-BADB-865408AB8D9E}"/>
  <tableColumns count="4">
    <tableColumn id="1" xr3:uid="{FBC18FF1-689D-4E5B-8B1E-4EA0FC11FB70}" name="speed%-" dataDxfId="126"/>
    <tableColumn id="2" xr3:uid="{77B99A13-4EB4-40C0-A52C-0BC05EFB61E7}" name="qual%+" dataDxfId="125"/>
    <tableColumn id="3" xr3:uid="{5EF4E85E-7699-458A-B01E-3FF61289B9F9}" name="level"/>
    <tableColumn id="4" xr3:uid="{8939BDBB-DD36-4E15-9EB4-B2A9EDD54DF6}" name="qual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46CC0E-9E49-4817-99DA-E40EC3BA450E}" name="Table3" displayName="Table3" ref="K2:N17" totalsRowShown="0">
  <autoFilter ref="K2:N17" xr:uid="{1F46CC0E-9E49-4817-99DA-E40EC3BA450E}"/>
  <tableColumns count="4">
    <tableColumn id="1" xr3:uid="{ADBD270C-C3A5-408C-813C-FA9B639932B3}" name="speed%-" dataDxfId="124"/>
    <tableColumn id="2" xr3:uid="{9B8EA8F0-AB79-43CC-880F-2B548146A943}" name="PROD%+" dataDxfId="123"/>
    <tableColumn id="3" xr3:uid="{FB0EE243-7E92-4392-A35C-55B86053F75C}" name="level"/>
    <tableColumn id="4" xr3:uid="{725B8ACC-67AD-4A54-A781-0AABD80DD790}" name="qual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8E96D9E-587D-44B4-9DD2-D9089D9456FD}" name="Speed" displayName="Speed" ref="B22:P25" totalsRowShown="0" tableBorderDxfId="122">
  <autoFilter ref="B22:P25" xr:uid="{28E96D9E-587D-44B4-9DD2-D9089D9456FD}"/>
  <tableColumns count="15">
    <tableColumn id="1" xr3:uid="{11B9746E-D65B-4719-85CA-D5AB449A5161}" name="11" dataDxfId="121"/>
    <tableColumn id="2" xr3:uid="{5EF59CC1-6A15-44D3-898C-DD6B4649BA3C}" name="12"/>
    <tableColumn id="3" xr3:uid="{FDF20D10-E3EA-41EA-A67E-EDAD55944A72}" name="13"/>
    <tableColumn id="4" xr3:uid="{E38DCFCA-19CD-4980-ABCB-46D6B3A0E688}" name="14"/>
    <tableColumn id="5" xr3:uid="{F45052C5-9C33-468A-BA43-A73C400FC8C5}" name="15"/>
    <tableColumn id="6" xr3:uid="{42972A44-54F0-460A-A86F-3B64A3FA6C59}" name="21"/>
    <tableColumn id="7" xr3:uid="{36A3DD92-AB98-4B54-A104-F0C05DCA365E}" name="22"/>
    <tableColumn id="8" xr3:uid="{285E830C-5D14-47FE-A16C-144448DB1C49}" name="23"/>
    <tableColumn id="9" xr3:uid="{29521C0B-82CA-4EB1-BCA0-FA0D28F197D7}" name="24"/>
    <tableColumn id="10" xr3:uid="{DBE33511-4D54-49B5-9A66-1A46AB5F4857}" name="25"/>
    <tableColumn id="11" xr3:uid="{4FEB6E39-5DD3-41A2-AC1F-89F0D130A4B3}" name="31"/>
    <tableColumn id="12" xr3:uid="{738E01EE-0C76-4BE2-B599-D5998BED0CE7}" name="32"/>
    <tableColumn id="13" xr3:uid="{A119F039-D608-4CCD-AE16-5657281A8545}" name="33"/>
    <tableColumn id="14" xr3:uid="{3BB22FEE-A1EE-4EE4-861F-76A77737E423}" name="34"/>
    <tableColumn id="15" xr3:uid="{B7E2A0A0-6EB7-453D-997A-DB69F994AF60}" name="3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35CDF96-A96E-446A-B07B-6A8EC3DC2F34}" name="Qual" displayName="Qual" ref="B29:P32" totalsRowShown="0" headerRowDxfId="120" dataDxfId="118" headerRowBorderDxfId="119" tableBorderDxfId="117" totalsRowBorderDxfId="116">
  <autoFilter ref="B29:P32" xr:uid="{935CDF96-A96E-446A-B07B-6A8EC3DC2F34}"/>
  <tableColumns count="15">
    <tableColumn id="1" xr3:uid="{0BDF37D9-2BAA-46C5-BB41-C16B4D0DFE0D}" name="11" dataDxfId="115"/>
    <tableColumn id="2" xr3:uid="{EF82F473-507C-4652-ABD0-DFFBA4FFE060}" name="12" dataDxfId="114"/>
    <tableColumn id="3" xr3:uid="{B61D7B5C-5896-4FE3-AA49-2E732C3F125B}" name="13" dataDxfId="113"/>
    <tableColumn id="4" xr3:uid="{44DB5FE2-4D5D-4102-B834-9C8DB6C48802}" name="14" dataDxfId="112"/>
    <tableColumn id="5" xr3:uid="{FDCE1ED8-A419-4F28-BCE8-0C38AA925D37}" name="15" dataDxfId="111"/>
    <tableColumn id="6" xr3:uid="{9EF5EB29-4D34-4E86-AA8F-AD238FEEE6CE}" name="21" dataDxfId="110"/>
    <tableColumn id="7" xr3:uid="{690983D4-7D63-4B7D-B6B6-CF776FD79D51}" name="22" dataDxfId="109"/>
    <tableColumn id="8" xr3:uid="{78823624-8472-4F4C-B11C-DD413E4A38AC}" name="23" dataDxfId="108"/>
    <tableColumn id="9" xr3:uid="{AFA961E9-C80C-45B3-A74D-DBFA1D9C9A5E}" name="24" dataDxfId="107"/>
    <tableColumn id="10" xr3:uid="{9D45D7C0-5747-4753-8220-30621C0281F4}" name="25" dataDxfId="106"/>
    <tableColumn id="11" xr3:uid="{05F2C5E1-452F-4200-95C5-C7E1CF1E8721}" name="31" dataDxfId="105"/>
    <tableColumn id="12" xr3:uid="{42E2446F-0495-4D70-AD74-1320E23D9152}" name="32" dataDxfId="104"/>
    <tableColumn id="13" xr3:uid="{042559A3-6AFA-4ECA-AA49-9D12C4C84579}" name="33" dataDxfId="103"/>
    <tableColumn id="14" xr3:uid="{E929FFBC-EC84-457A-AFCE-99B3A5765808}" name="34" dataDxfId="102"/>
    <tableColumn id="15" xr3:uid="{13D82E3F-1F71-4A6B-9D35-47751D55780F}" name="35" dataDxfId="101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24B9D1F-5097-44BB-AD26-201D2BAE2C7A}" name="Prod" displayName="Prod" ref="B35:P38" totalsRowShown="0">
  <autoFilter ref="B35:P38" xr:uid="{E24B9D1F-5097-44BB-AD26-201D2BAE2C7A}"/>
  <tableColumns count="15">
    <tableColumn id="1" xr3:uid="{60E0DCB1-F2EB-4DE5-AB27-2C2551FCF3DF}" name="11" dataDxfId="100"/>
    <tableColumn id="2" xr3:uid="{3BE92FA8-5CDB-4C2A-A72A-C47F819A108A}" name="12" dataDxfId="99"/>
    <tableColumn id="3" xr3:uid="{69A1FFE5-A32B-4B2A-8FFF-DFD774FA4268}" name="13" dataDxfId="98"/>
    <tableColumn id="4" xr3:uid="{3F066CEA-5713-4997-853F-F52BC776C47A}" name="14" dataDxfId="97"/>
    <tableColumn id="5" xr3:uid="{AAF9B8D2-26BD-475B-BE81-1566F3AF3235}" name="15" dataDxfId="96"/>
    <tableColumn id="6" xr3:uid="{5B69AE92-C576-403A-B3B7-A43CC1D8471C}" name="21" dataDxfId="95"/>
    <tableColumn id="7" xr3:uid="{3594BC8C-2FA0-4B40-8998-154469A234DD}" name="22" dataDxfId="94"/>
    <tableColumn id="8" xr3:uid="{77C812A4-A0AF-4583-B691-2754BE3FF9D6}" name="23" dataDxfId="93"/>
    <tableColumn id="9" xr3:uid="{00ACD407-1A8E-43A0-A2B9-833587A44F65}" name="24" dataDxfId="92"/>
    <tableColumn id="10" xr3:uid="{B2AD6BB2-0096-467C-90B1-5691AA1E8E2D}" name="25" dataDxfId="91"/>
    <tableColumn id="11" xr3:uid="{993C3861-EFF9-4C4B-927A-D8BCCAA88A6D}" name="31" dataDxfId="90"/>
    <tableColumn id="12" xr3:uid="{5A68482F-10A4-48C8-A4E8-8C876E55EEF9}" name="32" dataDxfId="89"/>
    <tableColumn id="13" xr3:uid="{871FC9FF-A214-48C5-BBF8-C04107CD75F3}" name="33" dataDxfId="88"/>
    <tableColumn id="14" xr3:uid="{6B639629-8AD1-4DA6-8A23-5619B30CB198}" name="34" dataDxfId="87"/>
    <tableColumn id="15" xr3:uid="{B5A4B7E6-517C-4FA4-AD80-3DFEE49CF3CE}" name="35" dataDxfId="86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E3DCB4B-BA99-403D-85EB-D3E34DDA5FE7}" name="SpeedN" displayName="SpeedN" ref="B18:E19" totalsRowShown="0" headerRowDxfId="85" dataDxfId="84">
  <autoFilter ref="B18:E19" xr:uid="{DE3DCB4B-BA99-403D-85EB-D3E34DDA5FE7}"/>
  <tableColumns count="4">
    <tableColumn id="1" xr3:uid="{86DB63C0-F67C-4BF1-8DFF-369DD6471238}" name="1" dataDxfId="83">
      <calculatedColumnFormula>E2</calculatedColumnFormula>
    </tableColumn>
    <tableColumn id="2" xr3:uid="{6386745F-1CEB-4F0D-BF10-3CCADCEA5E33}" name="2" dataDxfId="82">
      <calculatedColumnFormula>I2</calculatedColumnFormula>
    </tableColumn>
    <tableColumn id="3" xr3:uid="{AAA3BAF0-6233-4E40-9752-4A0B9EAFDC27}" name="3" dataDxfId="81">
      <calculatedColumnFormula>M2</calculatedColumnFormula>
    </tableColumn>
    <tableColumn id="4" xr3:uid="{DC816E77-2B6B-4C88-9131-56C6057EA86A}" name="4" dataDxfId="80">
      <calculatedColumnFormula>Q2</calculatedColumnFormula>
    </tableColumn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E2BA952-DF29-4134-A790-F28E96384E2A}" name="QualN" displayName="QualN" ref="B20:E21" totalsRowShown="0" dataDxfId="79">
  <autoFilter ref="B20:E21" xr:uid="{BE2BA952-DF29-4134-A790-F28E96384E2A}"/>
  <tableColumns count="4">
    <tableColumn id="1" xr3:uid="{16D345B1-C4F6-4C6C-ABCA-5E7C69013CA3}" name="1" dataDxfId="78">
      <calculatedColumnFormula>E3</calculatedColumnFormula>
    </tableColumn>
    <tableColumn id="2" xr3:uid="{1400D669-246D-46AA-AF9B-B844BE2249FB}" name="2" dataDxfId="77">
      <calculatedColumnFormula>I3</calculatedColumnFormula>
    </tableColumn>
    <tableColumn id="3" xr3:uid="{A5794696-DCCC-4AF8-8C5B-8BFE4F31E058}" name="3" dataDxfId="76">
      <calculatedColumnFormula>M3</calculatedColumnFormula>
    </tableColumn>
    <tableColumn id="4" xr3:uid="{58FF50FC-E606-4399-888B-F64D7D1F6F31}" name="4" dataDxfId="75">
      <calculatedColumnFormula>Q3</calculatedColumnFormula>
    </tableColumn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F0D33C6-7475-44E9-B3AE-E314F570133A}" name="ProdN" displayName="ProdN" ref="B22:E23" totalsRowShown="0" dataDxfId="74">
  <autoFilter ref="B22:E23" xr:uid="{EF0D33C6-7475-44E9-B3AE-E314F570133A}"/>
  <tableColumns count="4">
    <tableColumn id="1" xr3:uid="{DF88D5F9-D809-45AC-B2EB-651EC4BE25C8}" name="1" dataDxfId="73">
      <calculatedColumnFormula>E4</calculatedColumnFormula>
    </tableColumn>
    <tableColumn id="2" xr3:uid="{FD7B4A84-5891-4CA7-B3C4-E939CFEEA653}" name="2" dataDxfId="72">
      <calculatedColumnFormula>I4</calculatedColumnFormula>
    </tableColumn>
    <tableColumn id="3" xr3:uid="{F8057F5F-981A-4312-A929-1E3B8A2DF132}" name="3" dataDxfId="71">
      <calculatedColumnFormula>M4</calculatedColumnFormula>
    </tableColumn>
    <tableColumn id="4" xr3:uid="{4626DAD1-DF46-4E2A-A6B8-F6D977AAECC2}" name="4" dataDxfId="70">
      <calculatedColumnFormula>Q4</calculatedColumnFormula>
    </tableColumn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4F3327B-5F7F-4112-AA94-82C9B9E5EA98}" name="SpeedU" displayName="SpeedU" ref="B24:E25" totalsRowShown="0" headerRowDxfId="69" dataDxfId="68">
  <autoFilter ref="B24:E25" xr:uid="{E4F3327B-5F7F-4112-AA94-82C9B9E5EA98}"/>
  <tableColumns count="4">
    <tableColumn id="1" xr3:uid="{B5301E34-0A4B-4451-A3BA-25E90990ED59}" name="1" dataDxfId="67">
      <calculatedColumnFormula>E5</calculatedColumnFormula>
    </tableColumn>
    <tableColumn id="2" xr3:uid="{0C20C17C-0017-4910-B9CB-D1AC9C9E9453}" name="2" dataDxfId="66">
      <calculatedColumnFormula>I5</calculatedColumnFormula>
    </tableColumn>
    <tableColumn id="3" xr3:uid="{C6A9C54E-63A8-476A-85B1-993F457C3E27}" name="3" dataDxfId="65">
      <calculatedColumnFormula>M5</calculatedColumnFormula>
    </tableColumn>
    <tableColumn id="4" xr3:uid="{2EFF8856-9B0D-4CA6-9787-2C45D7421EEC}" name="4" dataDxfId="64">
      <calculatedColumnFormula>Q5</calculatedColumnFormula>
    </tableColumn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34D0C85-8407-4413-A55C-42D224AB5C9A}" name="QualU" displayName="QualU" ref="B26:E27" totalsRowShown="0" dataDxfId="63">
  <autoFilter ref="B26:E27" xr:uid="{034D0C85-8407-4413-A55C-42D224AB5C9A}"/>
  <tableColumns count="4">
    <tableColumn id="1" xr3:uid="{40734C92-4DD7-46E1-8E58-AD52E373CA8E}" name="1" dataDxfId="62">
      <calculatedColumnFormula>E6</calculatedColumnFormula>
    </tableColumn>
    <tableColumn id="2" xr3:uid="{563F6E07-ECD9-4B79-885F-259323162C11}" name="2" dataDxfId="61">
      <calculatedColumnFormula>I6</calculatedColumnFormula>
    </tableColumn>
    <tableColumn id="3" xr3:uid="{2710B0C1-66AF-4EF7-8F4D-18B1EB06DD0B}" name="3" dataDxfId="60">
      <calculatedColumnFormula>M6</calculatedColumnFormula>
    </tableColumn>
    <tableColumn id="4" xr3:uid="{20C464C0-9A21-4014-95E6-E216DFEA05E2}" name="4" dataDxfId="59">
      <calculatedColumnFormula>Q6</calculatedColumnFormula>
    </tableColumn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4E194D3-08BD-494C-92A8-C7E9384ED1D4}" name="ProdU" displayName="ProdU" ref="B28:E29" totalsRowShown="0" dataDxfId="58">
  <autoFilter ref="B28:E29" xr:uid="{84E194D3-08BD-494C-92A8-C7E9384ED1D4}"/>
  <tableColumns count="4">
    <tableColumn id="1" xr3:uid="{0C30D5EC-706A-41EA-91F5-5D5C964C1AB9}" name="1" dataDxfId="57">
      <calculatedColumnFormula>E7</calculatedColumnFormula>
    </tableColumn>
    <tableColumn id="2" xr3:uid="{EC3F14EF-2B24-48B3-B332-438984B92B13}" name="2" dataDxfId="56">
      <calculatedColumnFormula>I7</calculatedColumnFormula>
    </tableColumn>
    <tableColumn id="3" xr3:uid="{13699822-A9D3-4DA0-9CB4-7F20E6622850}" name="3" dataDxfId="55">
      <calculatedColumnFormula>M7</calculatedColumnFormula>
    </tableColumn>
    <tableColumn id="4" xr3:uid="{7B5DE6F4-2383-4D3A-88DD-2695C2618055}" name="4" dataDxfId="54">
      <calculatedColumnFormula>Q7</calculatedColumnFormula>
    </tableColumn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C4DAFBD-335E-4B69-86E0-939CD7B4E7B3}" name="SpeedR" displayName="SpeedR" ref="B30:E31" totalsRowShown="0" headerRowDxfId="53" dataDxfId="52">
  <autoFilter ref="B30:E31" xr:uid="{AC4DAFBD-335E-4B69-86E0-939CD7B4E7B3}"/>
  <tableColumns count="4">
    <tableColumn id="1" xr3:uid="{A2CBEE3A-93CD-42EF-81E7-D29D1C130726}" name="1" dataDxfId="51">
      <calculatedColumnFormula>E8</calculatedColumnFormula>
    </tableColumn>
    <tableColumn id="2" xr3:uid="{F9839105-48EA-43E3-A4CE-67F6DB11856D}" name="2" dataDxfId="50">
      <calculatedColumnFormula>I8</calculatedColumnFormula>
    </tableColumn>
    <tableColumn id="3" xr3:uid="{9AC0BACF-806A-4DEC-A485-EC8671E500E4}" name="3" dataDxfId="49">
      <calculatedColumnFormula>M8</calculatedColumnFormula>
    </tableColumn>
    <tableColumn id="4" xr3:uid="{596399ED-32DA-4A6A-97B3-DCEC55559C9F}" name="4" dataDxfId="48">
      <calculatedColumnFormula>Q8</calculatedColumnFormula>
    </tableColumn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F03E5E-B8F9-45F2-9F6F-8926D7D4FFB9}" name="QualR" displayName="QualR" ref="B32:E33" totalsRowShown="0" dataDxfId="47">
  <autoFilter ref="B32:E33" xr:uid="{60F03E5E-B8F9-45F2-9F6F-8926D7D4FFB9}"/>
  <tableColumns count="4">
    <tableColumn id="1" xr3:uid="{BDFBB46B-56D8-42D8-B43E-F9529061E378}" name="1" dataDxfId="46">
      <calculatedColumnFormula>E9</calculatedColumnFormula>
    </tableColumn>
    <tableColumn id="2" xr3:uid="{DCA26FA3-C6FD-4BB9-9CFA-BC3BF793A8B1}" name="2" dataDxfId="45">
      <calculatedColumnFormula>I9</calculatedColumnFormula>
    </tableColumn>
    <tableColumn id="3" xr3:uid="{2690C2DD-0177-4DC1-8FEC-6C35EC2E73D8}" name="3" dataDxfId="44">
      <calculatedColumnFormula>M9</calculatedColumnFormula>
    </tableColumn>
    <tableColumn id="4" xr3:uid="{A25C50BC-31CC-4E95-8238-75A4206166B2}" name="4" dataDxfId="43">
      <calculatedColumnFormula>Q9</calculatedColumnFormula>
    </tableColumn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97623E1-1B1F-4E5E-8D3B-9B4E4CDC6630}" name="ProdR" displayName="ProdR" ref="B34:E35" totalsRowShown="0" dataDxfId="42">
  <autoFilter ref="B34:E35" xr:uid="{997623E1-1B1F-4E5E-8D3B-9B4E4CDC6630}"/>
  <tableColumns count="4">
    <tableColumn id="1" xr3:uid="{50F67924-F329-4E67-8A4A-1F54C357D1F0}" name="1" dataDxfId="41">
      <calculatedColumnFormula>E10</calculatedColumnFormula>
    </tableColumn>
    <tableColumn id="2" xr3:uid="{F564F8C9-8296-4D05-AE42-7004108BCBFB}" name="2" dataDxfId="40">
      <calculatedColumnFormula>I10</calculatedColumnFormula>
    </tableColumn>
    <tableColumn id="3" xr3:uid="{38707C89-1B95-4526-AB7C-0BD35F0E6982}" name="3" dataDxfId="39">
      <calculatedColumnFormula>M10</calculatedColumnFormula>
    </tableColumn>
    <tableColumn id="4" xr3:uid="{5BAA427A-19EA-482C-AB1A-1A4D13E93A3F}" name="4" dataDxfId="38">
      <calculatedColumnFormula>Q10</calculatedColumnFormula>
    </tableColumn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E98DDD0-9125-45F9-96EA-9744EC5F8A7B}" name="SpeedL" displayName="SpeedL" ref="B42:E43" totalsRowShown="0" headerRowDxfId="37" dataDxfId="36" tableBorderDxfId="35">
  <autoFilter ref="B42:E43" xr:uid="{8E98DDD0-9125-45F9-96EA-9744EC5F8A7B}"/>
  <tableColumns count="4">
    <tableColumn id="1" xr3:uid="{40B30BEC-57DE-4453-80B3-2AF43754624D}" name="1" dataDxfId="34">
      <calculatedColumnFormula>E14</calculatedColumnFormula>
    </tableColumn>
    <tableColumn id="2" xr3:uid="{1391F365-CEB5-440B-AC10-FC56EB5C5EC7}" name="2" dataDxfId="33">
      <calculatedColumnFormula>I14</calculatedColumnFormula>
    </tableColumn>
    <tableColumn id="3" xr3:uid="{156E6909-3C54-4C24-B647-E2BFFF55038E}" name="3" dataDxfId="32">
      <calculatedColumnFormula>M14</calculatedColumnFormula>
    </tableColumn>
    <tableColumn id="4" xr3:uid="{1E727B22-B9AC-4260-8EBD-8CE75E6D9E1B}" name="4" dataDxfId="31">
      <calculatedColumnFormula>Q14</calculatedColumnFormula>
    </tableColumn>
  </tableColumns>
  <tableStyleInfo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FDD25FE3-4AC5-42D5-A8BD-B6F21B31A90A}" name="QualL" displayName="QualL" ref="B44:E45" totalsRowShown="0" dataDxfId="30" tableBorderDxfId="29">
  <autoFilter ref="B44:E45" xr:uid="{FDD25FE3-4AC5-42D5-A8BD-B6F21B31A90A}"/>
  <tableColumns count="4">
    <tableColumn id="1" xr3:uid="{AD206445-ABC1-45B9-BB34-24E515CF85B3}" name="1" dataDxfId="28">
      <calculatedColumnFormula>E15</calculatedColumnFormula>
    </tableColumn>
    <tableColumn id="2" xr3:uid="{AFA08A54-DB40-401A-A80D-ACAE58CF55F3}" name="2" dataDxfId="27">
      <calculatedColumnFormula>I15</calculatedColumnFormula>
    </tableColumn>
    <tableColumn id="3" xr3:uid="{79E8B73E-A406-4BF9-8669-78D3A6C9A891}" name="3" dataDxfId="26">
      <calculatedColumnFormula>M15</calculatedColumnFormula>
    </tableColumn>
    <tableColumn id="4" xr3:uid="{B3C0A85F-9A4C-4E4D-8C57-CD91B17B3C2F}" name="4" dataDxfId="25">
      <calculatedColumnFormula>Q15</calculatedColumnFormula>
    </tableColumn>
  </tableColumns>
  <tableStyleInfo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CE2C132F-9D56-4D56-81A6-0D1E0837F5BB}" name="ProdL" displayName="ProdL" ref="B46:E47" totalsRowShown="0" dataDxfId="24" tableBorderDxfId="23">
  <autoFilter ref="B46:E47" xr:uid="{CE2C132F-9D56-4D56-81A6-0D1E0837F5BB}"/>
  <tableColumns count="4">
    <tableColumn id="1" xr3:uid="{449CF337-A65C-40D2-B152-E96CABD55358}" name="1" dataDxfId="22">
      <calculatedColumnFormula>E16</calculatedColumnFormula>
    </tableColumn>
    <tableColumn id="2" xr3:uid="{8D6F50ED-BE60-43B6-867E-9FD4496DEAFA}" name="2" dataDxfId="21">
      <calculatedColumnFormula>I16</calculatedColumnFormula>
    </tableColumn>
    <tableColumn id="3" xr3:uid="{2EFE91C6-9AE8-45C8-A92C-67E3DBDE1595}" name="3" dataDxfId="20">
      <calculatedColumnFormula>M16</calculatedColumnFormula>
    </tableColumn>
    <tableColumn id="4" xr3:uid="{FE42FE7D-072B-41F0-9430-F8275DBCD7BE}" name="4" dataDxfId="19">
      <calculatedColumnFormula>Q16</calculatedColumnFormula>
    </tableColumn>
  </tableColumns>
  <tableStyleInfo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9447B40-BB2E-4C9D-B0F5-37AE71370D74}" name="SpeedE" displayName="SpeedE" ref="B36:E37" totalsRowShown="0" headerRowDxfId="18" dataDxfId="17" tableBorderDxfId="16">
  <autoFilter ref="B36:E37" xr:uid="{69447B40-BB2E-4C9D-B0F5-37AE71370D74}"/>
  <tableColumns count="4">
    <tableColumn id="1" xr3:uid="{4CE5875E-CED2-41A4-BBFF-6E60A5DE20BF}" name="1" dataDxfId="15">
      <calculatedColumnFormula>E11</calculatedColumnFormula>
    </tableColumn>
    <tableColumn id="2" xr3:uid="{576325FC-A15A-4190-8378-EFE2F954EA56}" name="2" dataDxfId="14">
      <calculatedColumnFormula>I11</calculatedColumnFormula>
    </tableColumn>
    <tableColumn id="3" xr3:uid="{9FC5744E-D5F4-4943-8623-296624FB6A2E}" name="3" dataDxfId="13">
      <calculatedColumnFormula>M11</calculatedColumnFormula>
    </tableColumn>
    <tableColumn id="4" xr3:uid="{86300691-7F5D-4985-9929-5E1372C966FF}" name="4" dataDxfId="12">
      <calculatedColumnFormula>Q11</calculatedColumnFormula>
    </tableColumn>
  </tableColumns>
  <tableStyleInfo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D3436776-FA38-4358-8775-9C2C8FCD71BF}" name="QualE" displayName="QualE" ref="B38:E39" totalsRowShown="0" dataDxfId="11" tableBorderDxfId="10">
  <autoFilter ref="B38:E39" xr:uid="{D3436776-FA38-4358-8775-9C2C8FCD71BF}"/>
  <tableColumns count="4">
    <tableColumn id="1" xr3:uid="{6DBBC37C-B096-4D82-AD93-978454D518D8}" name="1" dataDxfId="9">
      <calculatedColumnFormula>E12</calculatedColumnFormula>
    </tableColumn>
    <tableColumn id="2" xr3:uid="{6DAADB0B-581D-4557-909F-A3186D52A499}" name="2" dataDxfId="8">
      <calculatedColumnFormula>I12</calculatedColumnFormula>
    </tableColumn>
    <tableColumn id="3" xr3:uid="{C783914D-8B1E-4DEE-8C90-9583DECE4DED}" name="3" dataDxfId="7">
      <calculatedColumnFormula>M12</calculatedColumnFormula>
    </tableColumn>
    <tableColumn id="4" xr3:uid="{0255FB53-BE13-488E-A600-BC3A33F86C4D}" name="4" dataDxfId="6">
      <calculatedColumnFormula>Q12</calculatedColumnFormula>
    </tableColumn>
  </tableColumns>
  <tableStyleInfo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6EF3B260-8835-4352-B7AF-5CAC38FC682A}" name="ProdE" displayName="ProdE" ref="B40:E41" totalsRowShown="0" dataDxfId="5" tableBorderDxfId="4">
  <autoFilter ref="B40:E41" xr:uid="{6EF3B260-8835-4352-B7AF-5CAC38FC682A}"/>
  <tableColumns count="4">
    <tableColumn id="1" xr3:uid="{3EBD2D61-0210-4D4C-A9C9-10FA150E9C23}" name="1" dataDxfId="3">
      <calculatedColumnFormula>E13</calculatedColumnFormula>
    </tableColumn>
    <tableColumn id="2" xr3:uid="{9D9F024C-BA9C-4BE4-84B9-D0FB44850130}" name="2" dataDxfId="2">
      <calculatedColumnFormula>I13</calculatedColumnFormula>
    </tableColumn>
    <tableColumn id="3" xr3:uid="{89F99288-5F89-41E5-9BA4-9E5313E21848}" name="3" dataDxfId="1">
      <calculatedColumnFormula>M13</calculatedColumnFormula>
    </tableColumn>
    <tableColumn id="4" xr3:uid="{DD68BAEF-77B7-4EED-8E9D-62E901DF6318}" name="4" dataDxfId="0">
      <calculatedColumnFormula>Q13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13" Type="http://schemas.openxmlformats.org/officeDocument/2006/relationships/table" Target="../tables/table19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12" Type="http://schemas.openxmlformats.org/officeDocument/2006/relationships/table" Target="../tables/table18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6" Type="http://schemas.openxmlformats.org/officeDocument/2006/relationships/table" Target="../tables/table12.xml"/><Relationship Id="rId11" Type="http://schemas.openxmlformats.org/officeDocument/2006/relationships/table" Target="../tables/table17.xml"/><Relationship Id="rId5" Type="http://schemas.openxmlformats.org/officeDocument/2006/relationships/table" Target="../tables/table11.xml"/><Relationship Id="rId15" Type="http://schemas.openxmlformats.org/officeDocument/2006/relationships/table" Target="../tables/table21.xml"/><Relationship Id="rId10" Type="http://schemas.openxmlformats.org/officeDocument/2006/relationships/table" Target="../tables/table16.xml"/><Relationship Id="rId4" Type="http://schemas.openxmlformats.org/officeDocument/2006/relationships/table" Target="../tables/table10.xml"/><Relationship Id="rId9" Type="http://schemas.openxmlformats.org/officeDocument/2006/relationships/table" Target="../tables/table15.xml"/><Relationship Id="rId14" Type="http://schemas.openxmlformats.org/officeDocument/2006/relationships/table" Target="../tables/table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9619-C90A-4F68-802B-C0F3934EEC2C}">
  <dimension ref="A1:AD71"/>
  <sheetViews>
    <sheetView tabSelected="1" workbookViewId="0">
      <selection activeCell="P17" sqref="P17"/>
    </sheetView>
  </sheetViews>
  <sheetFormatPr defaultRowHeight="15" x14ac:dyDescent="0.25"/>
  <sheetData>
    <row r="1" spans="1:25" x14ac:dyDescent="0.25">
      <c r="A1" t="s">
        <v>109</v>
      </c>
    </row>
    <row r="2" spans="1:25" x14ac:dyDescent="0.25">
      <c r="A2" t="s">
        <v>110</v>
      </c>
    </row>
    <row r="3" spans="1:25" x14ac:dyDescent="0.25">
      <c r="A3" t="s">
        <v>108</v>
      </c>
    </row>
    <row r="4" spans="1:25" x14ac:dyDescent="0.25">
      <c r="B4" t="s">
        <v>98</v>
      </c>
      <c r="H4" t="s">
        <v>99</v>
      </c>
      <c r="N4" t="s">
        <v>102</v>
      </c>
    </row>
    <row r="5" spans="1:25" ht="15.75" thickBot="1" x14ac:dyDescent="0.3">
      <c r="B5" s="17"/>
      <c r="C5" s="18" t="s">
        <v>4</v>
      </c>
      <c r="D5" s="18" t="s">
        <v>0</v>
      </c>
      <c r="E5" s="18" t="s">
        <v>31</v>
      </c>
      <c r="F5" s="19" t="s">
        <v>34</v>
      </c>
      <c r="H5" s="17"/>
      <c r="I5" s="18" t="s">
        <v>4</v>
      </c>
      <c r="J5" s="18" t="s">
        <v>0</v>
      </c>
      <c r="K5" s="18" t="s">
        <v>31</v>
      </c>
      <c r="L5" s="19" t="s">
        <v>34</v>
      </c>
      <c r="N5" s="17"/>
      <c r="O5" s="18" t="s">
        <v>4</v>
      </c>
      <c r="P5" s="18" t="s">
        <v>0</v>
      </c>
      <c r="Q5" s="18" t="s">
        <v>31</v>
      </c>
      <c r="R5" s="19" t="s">
        <v>34</v>
      </c>
    </row>
    <row r="6" spans="1:25" ht="15.75" thickBot="1" x14ac:dyDescent="0.3">
      <c r="B6" s="13" t="s">
        <v>41</v>
      </c>
      <c r="C6" s="28">
        <v>4</v>
      </c>
      <c r="D6" s="29">
        <v>0</v>
      </c>
      <c r="E6" s="30">
        <v>0</v>
      </c>
      <c r="F6" s="22">
        <f>C6+D6+E6</f>
        <v>4</v>
      </c>
      <c r="H6" s="13" t="s">
        <v>41</v>
      </c>
      <c r="I6" s="28">
        <v>4</v>
      </c>
      <c r="J6" s="29">
        <v>1.5</v>
      </c>
      <c r="K6" s="30">
        <v>0</v>
      </c>
      <c r="L6" s="22">
        <f>I6+J6+K6</f>
        <v>5.5</v>
      </c>
      <c r="N6" s="13" t="s">
        <v>41</v>
      </c>
      <c r="O6" s="28">
        <v>4</v>
      </c>
      <c r="P6" s="29">
        <v>1.0606599999999999</v>
      </c>
      <c r="Q6" s="30">
        <v>0</v>
      </c>
      <c r="R6" s="22">
        <f>O6+P6+Q6</f>
        <v>5.0606600000000004</v>
      </c>
    </row>
    <row r="7" spans="1:25" x14ac:dyDescent="0.25">
      <c r="B7" s="12"/>
      <c r="C7" s="21" t="s">
        <v>68</v>
      </c>
      <c r="D7" s="21" t="s">
        <v>69</v>
      </c>
      <c r="E7" s="21" t="s">
        <v>70</v>
      </c>
      <c r="F7" s="12" t="s">
        <v>74</v>
      </c>
      <c r="H7" s="12"/>
      <c r="I7" s="21" t="s">
        <v>68</v>
      </c>
      <c r="J7" s="21" t="s">
        <v>69</v>
      </c>
      <c r="K7" s="21" t="s">
        <v>70</v>
      </c>
      <c r="L7" s="12" t="s">
        <v>74</v>
      </c>
      <c r="N7" s="12"/>
      <c r="O7" s="21" t="s">
        <v>68</v>
      </c>
      <c r="P7" s="21" t="s">
        <v>69</v>
      </c>
      <c r="Q7" s="21" t="s">
        <v>70</v>
      </c>
      <c r="R7" s="12" t="s">
        <v>74</v>
      </c>
    </row>
    <row r="8" spans="1:25" x14ac:dyDescent="0.25">
      <c r="B8" s="12" t="s">
        <v>71</v>
      </c>
      <c r="C8" s="70" cm="1">
        <f t="array" ref="C8">100*(1+SpeedN[1])*(1+ProdN[1])*QualN[1]</f>
        <v>3.2</v>
      </c>
      <c r="D8" s="70" cm="1">
        <f t="array" ref="D8">100*(1+SpeedN[2])*(1+ProdN[2])*QualN[2]</f>
        <v>6.4</v>
      </c>
      <c r="E8" s="70" cm="1">
        <f t="array" ref="E8">100*(1+SpeedN[3])*(1+ProdN[3])*QualN[3]</f>
        <v>8</v>
      </c>
      <c r="F8" s="64" cm="1">
        <f t="array" ref="F8">100*(1+SpeedN[4])*(1+ProdN[4])*QualN[4]</f>
        <v>8</v>
      </c>
      <c r="H8" s="12" t="s">
        <v>71</v>
      </c>
      <c r="I8" s="70">
        <f>Calcs!AF20</f>
        <v>2.7500000000000004</v>
      </c>
      <c r="J8" s="70">
        <f>Calcs!AG20</f>
        <v>7.1875</v>
      </c>
      <c r="K8" s="70">
        <f>Calcs!AH20</f>
        <v>9.6875</v>
      </c>
      <c r="L8" s="70">
        <f>Calcs!AI20</f>
        <v>9.6875000000000018</v>
      </c>
      <c r="N8" s="12" t="s">
        <v>71</v>
      </c>
      <c r="O8" s="70">
        <f>Calcs!N70</f>
        <v>2.9750000728799999</v>
      </c>
      <c r="P8" s="70">
        <f>Calcs!O70</f>
        <v>7.1665421639800009</v>
      </c>
      <c r="Q8" s="70">
        <f>Calcs!P70</f>
        <v>9.7757304555000015</v>
      </c>
      <c r="R8" s="70">
        <f>Calcs!Q70</f>
        <v>9.40293816398</v>
      </c>
    </row>
    <row r="9" spans="1:25" x14ac:dyDescent="0.25">
      <c r="B9" s="12" t="s">
        <v>72</v>
      </c>
      <c r="C9" s="71" cm="1">
        <f t="array" ref="C9">100*(1+SpeedU[1])*(1+ProdU[1])*QualU[1]</f>
        <v>4.16</v>
      </c>
      <c r="D9" s="71" cm="1">
        <f t="array" ref="D9">100*(1+SpeedU[2])*(1+ProdU[2])*QualU[2]</f>
        <v>8.32</v>
      </c>
      <c r="E9" s="71" cm="1">
        <f t="array" ref="E9">100*(1+SpeedU[3])*(1+ProdU[3])*QualU[3]</f>
        <v>10.24</v>
      </c>
      <c r="F9" s="65" cm="1">
        <f t="array" ref="F9">100*(1+SpeedU[4])*(1+ProdU[4])*QualU[4]</f>
        <v>10.24</v>
      </c>
      <c r="H9" s="12" t="s">
        <v>72</v>
      </c>
      <c r="I9" s="71">
        <f>Calcs!AF21</f>
        <v>4.4029999999999996</v>
      </c>
      <c r="J9" s="71">
        <f>Calcs!AG21</f>
        <v>11.287749999999999</v>
      </c>
      <c r="K9" s="71">
        <f>Calcs!AH21</f>
        <v>16.063749999999999</v>
      </c>
      <c r="L9" s="71">
        <f>Calcs!AI21</f>
        <v>14.611750000000001</v>
      </c>
      <c r="N9" s="12" t="s">
        <v>72</v>
      </c>
      <c r="O9" s="71">
        <f>Calcs!N71</f>
        <v>4.452984414743999</v>
      </c>
      <c r="P9" s="71">
        <f>Calcs!O71</f>
        <v>10.691120173174001</v>
      </c>
      <c r="Q9" s="71">
        <f>Calcs!P71</f>
        <v>15.115246792149998</v>
      </c>
      <c r="R9" s="71">
        <f>Calcs!Q71</f>
        <v>13.603897933174</v>
      </c>
    </row>
    <row r="10" spans="1:25" x14ac:dyDescent="0.25">
      <c r="B10" s="12" t="s">
        <v>73</v>
      </c>
      <c r="C10" s="72" cm="1">
        <f t="array" ref="C10">100*(1+SpeedR[1])*(1+ProdR[1])*QualR[1]</f>
        <v>5.12</v>
      </c>
      <c r="D10" s="72" cm="1">
        <f t="array" ref="D10">100*(1+SpeedR[2])*(1+ProdR[2])*QualR[2]</f>
        <v>10.24</v>
      </c>
      <c r="E10" s="72" cm="1">
        <f t="array" ref="E10">100*(1+SpeedR[3])*(1+ProdR[3])*QualR[3]</f>
        <v>12.8</v>
      </c>
      <c r="F10" s="66" cm="1">
        <f t="array" ref="F10">100*(1+SpeedR[4])*(1+ProdR[4])*QualR[4]</f>
        <v>12.8</v>
      </c>
      <c r="H10" s="12" t="s">
        <v>73</v>
      </c>
      <c r="I10" s="72">
        <f>Calcs!AF22</f>
        <v>6.2720000000000002</v>
      </c>
      <c r="J10" s="72">
        <f>Calcs!AG22</f>
        <v>16.036000000000001</v>
      </c>
      <c r="K10" s="72">
        <f>Calcs!AH22</f>
        <v>24.5</v>
      </c>
      <c r="L10" s="72">
        <f>Calcs!AI22</f>
        <v>20.900000000000002</v>
      </c>
      <c r="N10" s="12" t="s">
        <v>73</v>
      </c>
      <c r="O10" s="72">
        <f>Calcs!N72</f>
        <v>6.0837037966080008</v>
      </c>
      <c r="P10" s="72">
        <f>Calcs!O72</f>
        <v>14.673903302367998</v>
      </c>
      <c r="Q10" s="72">
        <f>Calcs!P72</f>
        <v>22.005128728800003</v>
      </c>
      <c r="R10" s="72">
        <f>Calcs!Q72</f>
        <v>18.863077062367999</v>
      </c>
    </row>
    <row r="11" spans="1:25" x14ac:dyDescent="0.25">
      <c r="B11" s="12" t="s">
        <v>75</v>
      </c>
      <c r="C11" s="73" cm="1">
        <f t="array" ref="C11">100*(1+SpeedE[1])*(1+ProdE[1])*QualE[1]</f>
        <v>6.08</v>
      </c>
      <c r="D11" s="73" cm="1">
        <f t="array" ref="D11">100*(1+SpeedE[2])*(1+ProdE[2])*QualE[2]</f>
        <v>12.16</v>
      </c>
      <c r="E11" s="73" cm="1">
        <f t="array" ref="E11">100*(1+SpeedE[3])*(1+ProdE[3])*QualE[3]</f>
        <v>15.04</v>
      </c>
      <c r="F11" s="67" cm="1">
        <f t="array" ref="F11">100*(1+SpeedE[4])*(1+ProdE[4])*QualE[4]</f>
        <v>15.04</v>
      </c>
      <c r="H11" s="12" t="s">
        <v>75</v>
      </c>
      <c r="I11" s="73">
        <f>Calcs!AF23</f>
        <v>8.3569999999999993</v>
      </c>
      <c r="J11" s="73">
        <f>Calcs!AG23</f>
        <v>21.43225</v>
      </c>
      <c r="K11" s="73">
        <f>Calcs!AH23</f>
        <v>33.486249999999991</v>
      </c>
      <c r="L11" s="73">
        <f>Calcs!AI23</f>
        <v>27.390250000000002</v>
      </c>
      <c r="N11" s="12" t="s">
        <v>75</v>
      </c>
      <c r="O11" s="73">
        <f>Calcs!N73</f>
        <v>7.8671582184720004</v>
      </c>
      <c r="P11" s="73">
        <f>Calcs!O73</f>
        <v>19.114891551561996</v>
      </c>
      <c r="Q11" s="73">
        <f>Calcs!P73</f>
        <v>29.190193465450001</v>
      </c>
      <c r="R11" s="73">
        <f>Calcs!Q73</f>
        <v>24.171365871561999</v>
      </c>
    </row>
    <row r="12" spans="1:25" x14ac:dyDescent="0.25">
      <c r="B12" s="12" t="s">
        <v>76</v>
      </c>
      <c r="C12" s="74" cm="1">
        <f t="array" ref="C12">100*(1+SpeedL[1])*(1+ProdL[1])*QualL[1]</f>
        <v>8</v>
      </c>
      <c r="D12" s="74" cm="1">
        <f t="array" ref="D12">100*(1+SpeedL[2])*(1+ProdL[2])*QualL[2]</f>
        <v>16</v>
      </c>
      <c r="E12" s="74" cm="1">
        <f t="array" ref="E12">100*(1+SpeedL[3])*(1+ProdL[3])*QualL[3]</f>
        <v>19.84</v>
      </c>
      <c r="F12" s="68" cm="1">
        <f t="array" ref="F12">100*(1+SpeedL[4])*(1+ProdL[4])*QualL[4]</f>
        <v>19.84</v>
      </c>
      <c r="H12" s="12" t="s">
        <v>76</v>
      </c>
      <c r="I12" s="74">
        <f>Calcs!AF24</f>
        <v>13.175000000000001</v>
      </c>
      <c r="J12" s="74">
        <f>Calcs!AG24</f>
        <v>34.168750000000003</v>
      </c>
      <c r="K12" s="74">
        <f>Calcs!AH24</f>
        <v>56.308749999999996</v>
      </c>
      <c r="L12" s="74">
        <f>Calcs!AI24</f>
        <v>43.408749999999998</v>
      </c>
      <c r="N12" s="12" t="s">
        <v>76</v>
      </c>
      <c r="O12" s="74">
        <f>Calcs!N74</f>
        <v>11.892272182200003</v>
      </c>
      <c r="P12" s="74">
        <f>Calcs!O74</f>
        <v>29.371483409949999</v>
      </c>
      <c r="Q12" s="74">
        <f>Calcs!P74</f>
        <v>47.083516138749999</v>
      </c>
      <c r="R12" s="74">
        <f>Calcs!Q74</f>
        <v>37.029859409949999</v>
      </c>
    </row>
    <row r="14" spans="1:25" x14ac:dyDescent="0.25">
      <c r="B14" s="17" t="s">
        <v>100</v>
      </c>
      <c r="C14" s="18"/>
      <c r="D14" s="19"/>
      <c r="H14" s="17" t="s">
        <v>100</v>
      </c>
      <c r="I14" s="18"/>
      <c r="J14" s="19"/>
      <c r="N14" s="17" t="s">
        <v>100</v>
      </c>
      <c r="O14" s="18"/>
      <c r="P14" s="19"/>
      <c r="S14" s="17" t="s">
        <v>115</v>
      </c>
      <c r="T14" s="18"/>
      <c r="U14" s="18"/>
      <c r="V14" s="18"/>
      <c r="W14" s="18"/>
      <c r="X14" s="19"/>
      <c r="Y14" s="13"/>
    </row>
    <row r="15" spans="1:25" ht="15.75" thickBot="1" x14ac:dyDescent="0.3">
      <c r="B15" s="23">
        <v>1</v>
      </c>
      <c r="C15" t="s">
        <v>43</v>
      </c>
      <c r="D15" s="22"/>
      <c r="H15" s="23">
        <v>1</v>
      </c>
      <c r="I15" t="s">
        <v>43</v>
      </c>
      <c r="J15" s="22"/>
      <c r="N15" s="23">
        <v>2</v>
      </c>
      <c r="O15" t="s">
        <v>43</v>
      </c>
      <c r="P15" s="22"/>
      <c r="S15" s="13" t="s">
        <v>114</v>
      </c>
      <c r="T15" t="s">
        <v>4</v>
      </c>
      <c r="U15" t="s">
        <v>0</v>
      </c>
      <c r="V15" t="s">
        <v>31</v>
      </c>
      <c r="W15" s="11" t="s">
        <v>34</v>
      </c>
      <c r="X15" s="20" t="s">
        <v>29</v>
      </c>
      <c r="Y15" s="13"/>
    </row>
    <row r="16" spans="1:25" ht="15.75" thickBot="1" x14ac:dyDescent="0.3">
      <c r="B16" s="23">
        <v>1.5</v>
      </c>
      <c r="C16" t="s">
        <v>44</v>
      </c>
      <c r="D16" s="22"/>
      <c r="H16" s="23">
        <v>1.5</v>
      </c>
      <c r="I16" t="s">
        <v>44</v>
      </c>
      <c r="J16" s="22"/>
      <c r="N16" s="23">
        <v>1.5</v>
      </c>
      <c r="O16" t="s">
        <v>44</v>
      </c>
      <c r="P16" s="22"/>
      <c r="S16" s="13" t="s">
        <v>41</v>
      </c>
      <c r="T16" s="28">
        <v>4</v>
      </c>
      <c r="U16" s="29">
        <v>0</v>
      </c>
      <c r="V16" s="30">
        <v>0</v>
      </c>
      <c r="W16" s="1">
        <f>T16+U16+V16</f>
        <v>4</v>
      </c>
      <c r="X16" s="69">
        <v>100</v>
      </c>
      <c r="Y16" s="13" t="s">
        <v>111</v>
      </c>
    </row>
    <row r="17" spans="1:25" x14ac:dyDescent="0.25">
      <c r="B17" s="21">
        <v>1</v>
      </c>
      <c r="C17" t="s">
        <v>117</v>
      </c>
      <c r="D17" s="22"/>
      <c r="H17" s="21">
        <v>2</v>
      </c>
      <c r="I17" t="s">
        <v>117</v>
      </c>
      <c r="J17" s="22"/>
      <c r="N17" s="21">
        <v>2</v>
      </c>
      <c r="O17" t="s">
        <v>117</v>
      </c>
      <c r="P17" s="22"/>
      <c r="S17" s="23" t="s">
        <v>0</v>
      </c>
      <c r="T17" s="82" cm="1">
        <f t="array" ref="T17:T19">T16*Qual[11]</f>
        <v>-0.2</v>
      </c>
      <c r="U17" s="82" cm="1">
        <f t="array" ref="U17:U19">U16*Speed[11]</f>
        <v>0</v>
      </c>
      <c r="V17" s="83" cm="1">
        <f t="array" ref="V17:V19">V16*Prod[11]</f>
        <v>0</v>
      </c>
      <c r="W17" s="1">
        <f>T17+U17+V17</f>
        <v>-0.2</v>
      </c>
      <c r="X17" s="69">
        <f>X16*(1+W17)*(1+W19)</f>
        <v>80</v>
      </c>
      <c r="Y17" s="13" t="s">
        <v>112</v>
      </c>
    </row>
    <row r="18" spans="1:25" x14ac:dyDescent="0.25">
      <c r="B18" s="12">
        <f>B17*(B16/SQRT(B15))</f>
        <v>1.5</v>
      </c>
      <c r="C18" s="11" t="s">
        <v>118</v>
      </c>
      <c r="D18" s="20"/>
      <c r="H18" s="12">
        <f>H17*(H16/SQRT(H15))</f>
        <v>3</v>
      </c>
      <c r="I18" s="11" t="s">
        <v>118</v>
      </c>
      <c r="J18" s="20"/>
      <c r="N18" s="12">
        <f>N17*(N16/SQRT(N15))</f>
        <v>2.1213203435596424</v>
      </c>
      <c r="O18" s="11" t="s">
        <v>118</v>
      </c>
      <c r="P18" s="20"/>
      <c r="S18" s="23" t="s">
        <v>4</v>
      </c>
      <c r="T18">
        <v>0.04</v>
      </c>
      <c r="U18">
        <v>0</v>
      </c>
      <c r="V18">
        <v>0</v>
      </c>
      <c r="W18">
        <f>T18+U18+V18</f>
        <v>0.04</v>
      </c>
      <c r="X18" s="69">
        <f>X17*(W18)</f>
        <v>3.2</v>
      </c>
      <c r="Y18" s="13" t="s">
        <v>113</v>
      </c>
    </row>
    <row r="19" spans="1:25" x14ac:dyDescent="0.25">
      <c r="S19" s="21" t="s">
        <v>31</v>
      </c>
      <c r="T19" s="11">
        <v>0</v>
      </c>
      <c r="U19" s="11">
        <v>0</v>
      </c>
      <c r="V19" s="11">
        <v>0</v>
      </c>
      <c r="W19" s="11">
        <f>V19+U19+T19</f>
        <v>0</v>
      </c>
      <c r="X19" s="20"/>
      <c r="Y19" s="13"/>
    </row>
    <row r="21" spans="1:25" ht="15.75" thickBot="1" x14ac:dyDescent="0.3">
      <c r="A21" t="s">
        <v>101</v>
      </c>
    </row>
    <row r="22" spans="1:25" x14ac:dyDescent="0.25">
      <c r="A22" s="31" t="s">
        <v>53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3"/>
    </row>
    <row r="23" spans="1:25" ht="15.75" thickBot="1" x14ac:dyDescent="0.3">
      <c r="A23" s="34" t="s">
        <v>4</v>
      </c>
      <c r="B23" t="s">
        <v>0</v>
      </c>
      <c r="C23" t="s">
        <v>31</v>
      </c>
      <c r="W23" s="35"/>
    </row>
    <row r="24" spans="1:25" ht="15.75" thickBot="1" x14ac:dyDescent="0.3">
      <c r="A24" s="28">
        <v>1</v>
      </c>
      <c r="B24" s="29">
        <v>0</v>
      </c>
      <c r="C24" s="30">
        <v>0</v>
      </c>
      <c r="W24" s="35"/>
    </row>
    <row r="25" spans="1:25" x14ac:dyDescent="0.25">
      <c r="A25" s="34"/>
      <c r="C25" t="s">
        <v>63</v>
      </c>
      <c r="K25" t="s">
        <v>64</v>
      </c>
      <c r="S25" t="s">
        <v>65</v>
      </c>
      <c r="W25" s="35"/>
    </row>
    <row r="26" spans="1:25" x14ac:dyDescent="0.25">
      <c r="A26" s="36" t="s">
        <v>47</v>
      </c>
      <c r="B26" s="18"/>
      <c r="C26" s="18"/>
      <c r="D26" s="18"/>
      <c r="E26" s="18"/>
      <c r="F26" s="19"/>
      <c r="G26" s="19"/>
      <c r="I26" s="17" t="s">
        <v>48</v>
      </c>
      <c r="J26" s="18"/>
      <c r="K26" s="18"/>
      <c r="L26" s="18"/>
      <c r="M26" s="18"/>
      <c r="N26" s="19"/>
      <c r="O26" s="19"/>
      <c r="Q26" s="17" t="s">
        <v>49</v>
      </c>
      <c r="R26" s="18"/>
      <c r="S26" s="18"/>
      <c r="T26" s="18"/>
      <c r="U26" s="18"/>
      <c r="V26" s="19"/>
      <c r="W26" s="37"/>
    </row>
    <row r="27" spans="1:25" ht="15.75" thickBot="1" x14ac:dyDescent="0.3">
      <c r="A27" s="34"/>
      <c r="B27" t="s">
        <v>4</v>
      </c>
      <c r="C27" t="s">
        <v>0</v>
      </c>
      <c r="D27" t="s">
        <v>31</v>
      </c>
      <c r="E27" s="11" t="s">
        <v>34</v>
      </c>
      <c r="F27" s="20" t="s">
        <v>29</v>
      </c>
      <c r="G27" s="22"/>
      <c r="I27" s="13"/>
      <c r="J27" t="s">
        <v>4</v>
      </c>
      <c r="K27" t="s">
        <v>0</v>
      </c>
      <c r="L27" t="s">
        <v>31</v>
      </c>
      <c r="M27" s="11" t="s">
        <v>34</v>
      </c>
      <c r="N27" s="20" t="s">
        <v>29</v>
      </c>
      <c r="O27" s="22"/>
      <c r="Q27" s="13"/>
      <c r="R27" t="s">
        <v>4</v>
      </c>
      <c r="S27" t="s">
        <v>0</v>
      </c>
      <c r="T27" t="s">
        <v>31</v>
      </c>
      <c r="U27" s="11" t="s">
        <v>34</v>
      </c>
      <c r="V27" s="20" t="s">
        <v>29</v>
      </c>
      <c r="W27" s="35"/>
    </row>
    <row r="28" spans="1:25" ht="15.75" thickBot="1" x14ac:dyDescent="0.3">
      <c r="A28" s="34" t="s">
        <v>41</v>
      </c>
      <c r="B28" s="28">
        <f>A24</f>
        <v>1</v>
      </c>
      <c r="C28" s="29">
        <f>B24</f>
        <v>0</v>
      </c>
      <c r="D28" s="30">
        <f>C24</f>
        <v>0</v>
      </c>
      <c r="E28" s="1">
        <f>B28+C28+D28</f>
        <v>1</v>
      </c>
      <c r="F28" s="22"/>
      <c r="G28" s="22"/>
      <c r="I28" s="13" t="s">
        <v>41</v>
      </c>
      <c r="J28" s="28">
        <f>A24</f>
        <v>1</v>
      </c>
      <c r="K28" s="29">
        <f>B24</f>
        <v>0</v>
      </c>
      <c r="L28" s="30">
        <f>C24</f>
        <v>0</v>
      </c>
      <c r="M28" s="1">
        <f>J28+K28+L28</f>
        <v>1</v>
      </c>
      <c r="N28" s="22"/>
      <c r="O28" s="22"/>
      <c r="Q28" s="13" t="s">
        <v>41</v>
      </c>
      <c r="R28" s="28">
        <f>A24</f>
        <v>1</v>
      </c>
      <c r="S28" s="29">
        <f>B24</f>
        <v>0</v>
      </c>
      <c r="T28" s="30">
        <f>C24</f>
        <v>0</v>
      </c>
      <c r="U28" s="1">
        <f>R28+S28+T28</f>
        <v>1</v>
      </c>
      <c r="V28" s="22"/>
      <c r="W28" s="35"/>
    </row>
    <row r="29" spans="1:25" x14ac:dyDescent="0.25">
      <c r="A29" s="38" t="s">
        <v>0</v>
      </c>
      <c r="B29" cm="1">
        <f t="array" ref="B29:B31">B28*Qual[11]</f>
        <v>-0.05</v>
      </c>
      <c r="C29" cm="1">
        <f t="array" ref="C29:C31">C28*Speed[11]</f>
        <v>0</v>
      </c>
      <c r="D29" s="1" cm="1">
        <f t="array" ref="D29:D31">D28*Prod[11]</f>
        <v>0</v>
      </c>
      <c r="E29" s="1">
        <f>B29+C29+D29</f>
        <v>-0.05</v>
      </c>
      <c r="F29" s="24">
        <f>100*(1+E29)*(1+E31)</f>
        <v>95</v>
      </c>
      <c r="G29" s="25" t="s">
        <v>36</v>
      </c>
      <c r="H29" t="s">
        <v>66</v>
      </c>
      <c r="I29" s="23" t="s">
        <v>0</v>
      </c>
      <c r="J29" s="13" cm="1">
        <f t="array" ref="J29:J31">J28*Qual[21]</f>
        <v>-0.05</v>
      </c>
      <c r="K29" cm="1">
        <f t="array" ref="K29:K31">K28*Speed[21]</f>
        <v>0</v>
      </c>
      <c r="L29" s="1" cm="1">
        <f t="array" ref="L29:L31">L28*Prod[21]</f>
        <v>0</v>
      </c>
      <c r="M29" s="27">
        <f>J29+K29+L29</f>
        <v>-0.05</v>
      </c>
      <c r="N29" s="24">
        <f>100*(1+M29)*(1+M31)</f>
        <v>95</v>
      </c>
      <c r="O29" s="25" t="s">
        <v>36</v>
      </c>
      <c r="P29" t="s">
        <v>66</v>
      </c>
      <c r="Q29" s="23" t="s">
        <v>0</v>
      </c>
      <c r="R29" s="13" cm="1">
        <f t="array" ref="R29:R31">R28*Qual[31]</f>
        <v>-0.05</v>
      </c>
      <c r="S29" s="47" cm="1">
        <f t="array" ref="S29:S31">S28*Speed[21]</f>
        <v>0</v>
      </c>
      <c r="T29" s="1" cm="1">
        <f t="array" ref="T29:T31">T28*Prod[31]</f>
        <v>0</v>
      </c>
      <c r="U29" s="27">
        <f>R29+S29+T29</f>
        <v>-0.05</v>
      </c>
      <c r="V29" s="24">
        <f>100*(1+U29)*(1+U31)</f>
        <v>95</v>
      </c>
      <c r="W29" s="39" t="s">
        <v>36</v>
      </c>
    </row>
    <row r="30" spans="1:25" x14ac:dyDescent="0.25">
      <c r="A30" s="38" t="s">
        <v>4</v>
      </c>
      <c r="B30">
        <v>0.01</v>
      </c>
      <c r="C30">
        <v>0</v>
      </c>
      <c r="D30">
        <v>0</v>
      </c>
      <c r="E30">
        <f>B30+C30+D30</f>
        <v>0.01</v>
      </c>
      <c r="F30" s="14">
        <f>F29*(E30)</f>
        <v>0.95000000000000007</v>
      </c>
      <c r="G30" s="20" t="s">
        <v>35</v>
      </c>
      <c r="I30" s="23" t="s">
        <v>4</v>
      </c>
      <c r="J30">
        <v>0.02</v>
      </c>
      <c r="K30">
        <v>0</v>
      </c>
      <c r="L30">
        <v>0</v>
      </c>
      <c r="M30">
        <f>J30+K30+L30</f>
        <v>0.02</v>
      </c>
      <c r="N30" s="14">
        <f>N29*(M30)</f>
        <v>1.9000000000000001</v>
      </c>
      <c r="O30" s="20" t="s">
        <v>35</v>
      </c>
      <c r="Q30" s="23" t="s">
        <v>4</v>
      </c>
      <c r="R30">
        <v>2.5000000000000001E-2</v>
      </c>
      <c r="S30">
        <v>0</v>
      </c>
      <c r="T30">
        <v>0</v>
      </c>
      <c r="U30">
        <f>R30+S30+T30</f>
        <v>2.5000000000000001E-2</v>
      </c>
      <c r="V30" s="14">
        <f>V29*(U30)</f>
        <v>2.375</v>
      </c>
      <c r="W30" s="40" t="s">
        <v>35</v>
      </c>
    </row>
    <row r="31" spans="1:25" x14ac:dyDescent="0.25">
      <c r="A31" s="41" t="s">
        <v>31</v>
      </c>
      <c r="B31" s="11">
        <v>0</v>
      </c>
      <c r="C31" s="11">
        <v>0</v>
      </c>
      <c r="D31" s="11">
        <v>0</v>
      </c>
      <c r="E31" s="11">
        <f>D31+C31+B31</f>
        <v>0</v>
      </c>
      <c r="F31" s="20"/>
      <c r="G31" s="20"/>
      <c r="I31" s="21" t="s">
        <v>31</v>
      </c>
      <c r="J31" s="11">
        <v>0</v>
      </c>
      <c r="K31" s="11">
        <v>0</v>
      </c>
      <c r="L31" s="11">
        <v>0</v>
      </c>
      <c r="M31" s="11">
        <f>L31+K31+J31</f>
        <v>0</v>
      </c>
      <c r="N31" s="20"/>
      <c r="O31" s="20"/>
      <c r="Q31" s="21" t="s">
        <v>31</v>
      </c>
      <c r="R31" s="11">
        <v>0</v>
      </c>
      <c r="S31" s="11">
        <v>0</v>
      </c>
      <c r="T31" s="11">
        <v>0</v>
      </c>
      <c r="U31" s="11">
        <f>T31+S31+R31</f>
        <v>0</v>
      </c>
      <c r="V31" s="20"/>
      <c r="W31" s="40"/>
    </row>
    <row r="32" spans="1:25" x14ac:dyDescent="0.25">
      <c r="A32" s="34"/>
      <c r="W32" s="35"/>
    </row>
    <row r="33" spans="1:30" x14ac:dyDescent="0.25">
      <c r="A33" s="36" t="s">
        <v>50</v>
      </c>
      <c r="B33" s="18"/>
      <c r="C33" s="18"/>
      <c r="D33" s="18"/>
      <c r="E33" s="18"/>
      <c r="F33" s="19"/>
      <c r="G33" s="19"/>
      <c r="I33" s="17" t="s">
        <v>51</v>
      </c>
      <c r="J33" s="18"/>
      <c r="K33" s="18"/>
      <c r="L33" s="18"/>
      <c r="M33" s="18"/>
      <c r="N33" s="19"/>
      <c r="O33" s="19"/>
      <c r="Q33" s="17" t="s">
        <v>52</v>
      </c>
      <c r="R33" s="18"/>
      <c r="S33" s="18"/>
      <c r="T33" s="18"/>
      <c r="U33" s="18"/>
      <c r="V33" s="19"/>
      <c r="W33" s="37"/>
    </row>
    <row r="34" spans="1:30" ht="15.75" thickBot="1" x14ac:dyDescent="0.3">
      <c r="A34" s="34"/>
      <c r="B34" t="s">
        <v>4</v>
      </c>
      <c r="C34" t="s">
        <v>0</v>
      </c>
      <c r="D34" t="s">
        <v>31</v>
      </c>
      <c r="E34" s="11" t="s">
        <v>34</v>
      </c>
      <c r="F34" s="20" t="s">
        <v>29</v>
      </c>
      <c r="G34" s="22"/>
      <c r="I34" s="13"/>
      <c r="J34" t="s">
        <v>4</v>
      </c>
      <c r="K34" t="s">
        <v>0</v>
      </c>
      <c r="L34" t="s">
        <v>31</v>
      </c>
      <c r="M34" s="11" t="s">
        <v>34</v>
      </c>
      <c r="N34" s="20" t="s">
        <v>29</v>
      </c>
      <c r="O34" s="22"/>
      <c r="Q34" s="13"/>
      <c r="R34" t="s">
        <v>4</v>
      </c>
      <c r="S34" t="s">
        <v>0</v>
      </c>
      <c r="T34" t="s">
        <v>31</v>
      </c>
      <c r="U34" s="11" t="s">
        <v>34</v>
      </c>
      <c r="V34" s="20" t="s">
        <v>29</v>
      </c>
      <c r="W34" s="35"/>
    </row>
    <row r="35" spans="1:30" ht="15.75" thickBot="1" x14ac:dyDescent="0.3">
      <c r="A35" s="34" t="s">
        <v>41</v>
      </c>
      <c r="B35" s="28">
        <f>A24</f>
        <v>1</v>
      </c>
      <c r="C35" s="29">
        <f>B24</f>
        <v>0</v>
      </c>
      <c r="D35" s="30">
        <f>C24</f>
        <v>0</v>
      </c>
      <c r="E35" s="1">
        <f>B35+C35+D35</f>
        <v>1</v>
      </c>
      <c r="F35" s="22"/>
      <c r="G35" s="22"/>
      <c r="H35" t="s">
        <v>67</v>
      </c>
      <c r="I35" s="13" t="s">
        <v>41</v>
      </c>
      <c r="J35" s="28">
        <f>A24</f>
        <v>1</v>
      </c>
      <c r="K35" s="29">
        <f>B24</f>
        <v>0</v>
      </c>
      <c r="L35" s="30">
        <f>C24</f>
        <v>0</v>
      </c>
      <c r="M35" s="1">
        <f>J35+K35+L35</f>
        <v>1</v>
      </c>
      <c r="N35" s="22"/>
      <c r="O35" s="22"/>
      <c r="P35" t="s">
        <v>67</v>
      </c>
      <c r="Q35" s="13" t="s">
        <v>41</v>
      </c>
      <c r="R35" s="28">
        <f>A24</f>
        <v>1</v>
      </c>
      <c r="S35" s="29">
        <f>B24</f>
        <v>0</v>
      </c>
      <c r="T35" s="30">
        <f>C24</f>
        <v>0</v>
      </c>
      <c r="U35" s="1">
        <f>R35+S35+T35</f>
        <v>1</v>
      </c>
      <c r="V35" s="22"/>
      <c r="W35" s="35"/>
    </row>
    <row r="36" spans="1:30" x14ac:dyDescent="0.25">
      <c r="A36" s="38" t="s">
        <v>0</v>
      </c>
      <c r="B36" cm="1">
        <f t="array" ref="B36:B38">B35*Qual[12]</f>
        <v>-0.05</v>
      </c>
      <c r="C36" cm="1">
        <f t="array" ref="C36:C38">C35*Speed[12]</f>
        <v>0</v>
      </c>
      <c r="D36" s="1" cm="1">
        <f t="array" ref="D36:D38">D35*Prod[12]</f>
        <v>0</v>
      </c>
      <c r="E36" s="1">
        <f>B36+C36+D36</f>
        <v>-0.05</v>
      </c>
      <c r="F36" s="24">
        <f>100*(1+E36)*(1+E38)</f>
        <v>95</v>
      </c>
      <c r="G36" s="25" t="s">
        <v>36</v>
      </c>
      <c r="I36" s="23" t="s">
        <v>0</v>
      </c>
      <c r="J36" s="13" cm="1">
        <f t="array" ref="J36:J38">J35*Qual[22]</f>
        <v>-0.05</v>
      </c>
      <c r="K36" cm="1">
        <f t="array" ref="K36:K38">K35*Speed[22]</f>
        <v>0</v>
      </c>
      <c r="L36" s="1" cm="1">
        <f t="array" ref="L36:L38">L35*Prod[22]</f>
        <v>0</v>
      </c>
      <c r="M36" s="27">
        <f>J36+K36+L36</f>
        <v>-0.05</v>
      </c>
      <c r="N36" s="24">
        <f>100*(1+M36)*(1+M38)</f>
        <v>95</v>
      </c>
      <c r="O36" s="25" t="s">
        <v>36</v>
      </c>
      <c r="Q36" s="23" t="s">
        <v>0</v>
      </c>
      <c r="R36" s="13" cm="1">
        <f t="array" ref="R36:R38">R35*Qual[32]</f>
        <v>-0.05</v>
      </c>
      <c r="S36" s="47" cm="1">
        <f t="array" ref="S36:S38">S35*Speed[22]</f>
        <v>0</v>
      </c>
      <c r="T36" s="1" cm="1">
        <f t="array" ref="T36:T38">T35*Prod[32]</f>
        <v>0</v>
      </c>
      <c r="U36" s="27">
        <f>R36+S36+T36</f>
        <v>-0.05</v>
      </c>
      <c r="V36" s="24">
        <f>100*(1+U36)*(1+U38)</f>
        <v>95</v>
      </c>
      <c r="W36" s="39" t="s">
        <v>36</v>
      </c>
    </row>
    <row r="37" spans="1:30" x14ac:dyDescent="0.25">
      <c r="A37" s="38" t="s">
        <v>4</v>
      </c>
      <c r="B37">
        <v>1.2999999999999999E-2</v>
      </c>
      <c r="C37">
        <v>0</v>
      </c>
      <c r="D37">
        <v>0</v>
      </c>
      <c r="E37">
        <f>B37+C37+D37</f>
        <v>1.2999999999999999E-2</v>
      </c>
      <c r="F37" s="14">
        <f>F36*(E37)</f>
        <v>1.2349999999999999</v>
      </c>
      <c r="G37" s="20" t="s">
        <v>35</v>
      </c>
      <c r="I37" s="23" t="s">
        <v>4</v>
      </c>
      <c r="J37">
        <v>2.5999999999999999E-2</v>
      </c>
      <c r="K37">
        <v>0</v>
      </c>
      <c r="L37">
        <v>0</v>
      </c>
      <c r="M37">
        <f>J37+K37+L37</f>
        <v>2.5999999999999999E-2</v>
      </c>
      <c r="N37" s="14">
        <f>N36*(M37)</f>
        <v>2.4699999999999998</v>
      </c>
      <c r="O37" s="20" t="s">
        <v>35</v>
      </c>
      <c r="Q37" s="23" t="s">
        <v>4</v>
      </c>
      <c r="R37">
        <v>3.2000000000000001E-2</v>
      </c>
      <c r="S37">
        <v>0</v>
      </c>
      <c r="T37">
        <v>0</v>
      </c>
      <c r="U37">
        <f>R37+S37+T37</f>
        <v>3.2000000000000001E-2</v>
      </c>
      <c r="V37" s="14">
        <f>V36*(U37)</f>
        <v>3.04</v>
      </c>
      <c r="W37" s="40" t="s">
        <v>35</v>
      </c>
    </row>
    <row r="38" spans="1:30" ht="15.75" thickBot="1" x14ac:dyDescent="0.3">
      <c r="A38" s="42" t="s">
        <v>31</v>
      </c>
      <c r="B38" s="43">
        <v>0</v>
      </c>
      <c r="C38" s="43">
        <v>0</v>
      </c>
      <c r="D38" s="43">
        <v>0</v>
      </c>
      <c r="E38" s="43">
        <f>D38+C38+B38</f>
        <v>0</v>
      </c>
      <c r="F38" s="44"/>
      <c r="G38" s="44"/>
      <c r="H38" s="43"/>
      <c r="I38" s="45" t="s">
        <v>31</v>
      </c>
      <c r="J38" s="43">
        <v>0</v>
      </c>
      <c r="K38" s="43">
        <v>0</v>
      </c>
      <c r="L38" s="43">
        <v>0</v>
      </c>
      <c r="M38" s="43">
        <f>L38+K38+J38</f>
        <v>0</v>
      </c>
      <c r="N38" s="44"/>
      <c r="O38" s="44"/>
      <c r="P38" s="43"/>
      <c r="Q38" s="45" t="s">
        <v>31</v>
      </c>
      <c r="R38" s="43">
        <v>0</v>
      </c>
      <c r="S38" s="43">
        <v>0</v>
      </c>
      <c r="T38" s="43">
        <v>0</v>
      </c>
      <c r="U38" s="43">
        <f>T38+S38+R38</f>
        <v>0</v>
      </c>
      <c r="V38" s="44"/>
      <c r="W38" s="46"/>
    </row>
    <row r="39" spans="1:30" ht="15.75" thickBot="1" x14ac:dyDescent="0.3"/>
    <row r="40" spans="1:30" x14ac:dyDescent="0.25">
      <c r="A40" s="31" t="s">
        <v>53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3"/>
    </row>
    <row r="41" spans="1:30" ht="15.75" thickBot="1" x14ac:dyDescent="0.3">
      <c r="A41" s="34" t="s">
        <v>4</v>
      </c>
      <c r="B41" t="s">
        <v>0</v>
      </c>
      <c r="C41" t="s">
        <v>31</v>
      </c>
      <c r="W41" s="35"/>
    </row>
    <row r="42" spans="1:30" ht="15.75" thickBot="1" x14ac:dyDescent="0.3">
      <c r="A42" s="28">
        <v>0</v>
      </c>
      <c r="B42" s="29">
        <v>1</v>
      </c>
      <c r="C42" s="30">
        <v>0</v>
      </c>
      <c r="W42" s="35"/>
    </row>
    <row r="43" spans="1:30" x14ac:dyDescent="0.25">
      <c r="A43" s="34"/>
      <c r="C43" t="s">
        <v>63</v>
      </c>
      <c r="K43" t="s">
        <v>64</v>
      </c>
      <c r="S43" t="s">
        <v>65</v>
      </c>
      <c r="W43" s="35"/>
      <c r="Z43" t="s">
        <v>65</v>
      </c>
      <c r="AD43" s="35"/>
    </row>
    <row r="44" spans="1:30" x14ac:dyDescent="0.25">
      <c r="A44" s="36" t="s">
        <v>47</v>
      </c>
      <c r="B44" s="18"/>
      <c r="C44" s="18"/>
      <c r="D44" s="18"/>
      <c r="E44" s="18"/>
      <c r="F44" s="19"/>
      <c r="G44" s="19"/>
      <c r="I44" s="17" t="s">
        <v>48</v>
      </c>
      <c r="J44" s="18"/>
      <c r="K44" s="18"/>
      <c r="L44" s="18"/>
      <c r="M44" s="18"/>
      <c r="N44" s="19"/>
      <c r="O44" s="19"/>
      <c r="Q44" s="17" t="s">
        <v>49</v>
      </c>
      <c r="R44" s="18"/>
      <c r="S44" s="18"/>
      <c r="T44" s="18"/>
      <c r="U44" s="18"/>
      <c r="V44" s="19"/>
      <c r="W44" s="37"/>
      <c r="X44" s="17" t="s">
        <v>49</v>
      </c>
      <c r="Y44" s="18"/>
      <c r="Z44" s="18"/>
      <c r="AA44" s="18"/>
      <c r="AB44" s="18"/>
      <c r="AC44" s="19"/>
      <c r="AD44" s="37"/>
    </row>
    <row r="45" spans="1:30" ht="15.75" thickBot="1" x14ac:dyDescent="0.3">
      <c r="A45" s="34"/>
      <c r="B45" t="s">
        <v>4</v>
      </c>
      <c r="C45" t="s">
        <v>0</v>
      </c>
      <c r="D45" t="s">
        <v>31</v>
      </c>
      <c r="E45" s="11" t="s">
        <v>34</v>
      </c>
      <c r="F45" s="20" t="s">
        <v>29</v>
      </c>
      <c r="G45" s="22"/>
      <c r="I45" s="13"/>
      <c r="J45" t="s">
        <v>4</v>
      </c>
      <c r="K45" t="s">
        <v>0</v>
      </c>
      <c r="L45" t="s">
        <v>31</v>
      </c>
      <c r="M45" s="11" t="s">
        <v>34</v>
      </c>
      <c r="N45" s="20" t="s">
        <v>29</v>
      </c>
      <c r="O45" s="22"/>
      <c r="Q45" s="13"/>
      <c r="R45" t="s">
        <v>4</v>
      </c>
      <c r="S45" t="s">
        <v>0</v>
      </c>
      <c r="T45" t="s">
        <v>31</v>
      </c>
      <c r="U45" s="11" t="s">
        <v>34</v>
      </c>
      <c r="V45" s="20" t="s">
        <v>29</v>
      </c>
      <c r="W45" s="35"/>
      <c r="X45" s="13"/>
      <c r="Y45" t="s">
        <v>4</v>
      </c>
      <c r="Z45" t="s">
        <v>0</v>
      </c>
      <c r="AA45" t="s">
        <v>31</v>
      </c>
      <c r="AB45" s="11" t="s">
        <v>34</v>
      </c>
      <c r="AC45" s="20" t="s">
        <v>29</v>
      </c>
      <c r="AD45" s="35"/>
    </row>
    <row r="46" spans="1:30" ht="15.75" thickBot="1" x14ac:dyDescent="0.3">
      <c r="A46" s="34" t="s">
        <v>41</v>
      </c>
      <c r="B46" s="28">
        <f>A42</f>
        <v>0</v>
      </c>
      <c r="C46" s="29">
        <f>B42</f>
        <v>1</v>
      </c>
      <c r="D46" s="30">
        <f>C42</f>
        <v>0</v>
      </c>
      <c r="E46" s="1">
        <f>B46+C46+D46</f>
        <v>1</v>
      </c>
      <c r="F46" s="22"/>
      <c r="G46" s="22"/>
      <c r="I46" s="13" t="s">
        <v>41</v>
      </c>
      <c r="J46" s="28">
        <f>A42</f>
        <v>0</v>
      </c>
      <c r="K46" s="29">
        <f>B42</f>
        <v>1</v>
      </c>
      <c r="L46" s="30">
        <f>C42</f>
        <v>0</v>
      </c>
      <c r="M46" s="1">
        <f>J46+K46+L46</f>
        <v>1</v>
      </c>
      <c r="N46" s="22"/>
      <c r="O46" s="22"/>
      <c r="Q46" s="13" t="s">
        <v>41</v>
      </c>
      <c r="R46" s="28">
        <f>A42</f>
        <v>0</v>
      </c>
      <c r="S46" s="29">
        <f>B42</f>
        <v>1</v>
      </c>
      <c r="T46" s="30">
        <f>C42</f>
        <v>0</v>
      </c>
      <c r="U46" s="1">
        <f>R46+S46+T46</f>
        <v>1</v>
      </c>
      <c r="V46" s="22"/>
      <c r="W46" s="35"/>
      <c r="X46" s="13" t="s">
        <v>41</v>
      </c>
      <c r="Y46" s="28">
        <f>R46</f>
        <v>0</v>
      </c>
      <c r="Z46" s="28">
        <f t="shared" ref="Z46:AA46" si="0">S46</f>
        <v>1</v>
      </c>
      <c r="AA46" s="28">
        <f t="shared" si="0"/>
        <v>0</v>
      </c>
      <c r="AB46" s="1">
        <f>Y46+Z46+AA46</f>
        <v>1</v>
      </c>
      <c r="AC46" s="22"/>
      <c r="AD46" s="35"/>
    </row>
    <row r="47" spans="1:30" x14ac:dyDescent="0.25">
      <c r="A47" s="38" t="s">
        <v>0</v>
      </c>
      <c r="B47" cm="1">
        <f t="array" ref="B47:B49">B46*Qual[11]</f>
        <v>0</v>
      </c>
      <c r="C47" cm="1">
        <f t="array" ref="C47:C49">C46*Speed[11]</f>
        <v>0.2</v>
      </c>
      <c r="D47" s="1" cm="1">
        <f t="array" ref="D47:D49">D46*Prod[11]</f>
        <v>0</v>
      </c>
      <c r="E47" s="1">
        <f>B47+C47+D47</f>
        <v>0.2</v>
      </c>
      <c r="F47" s="24">
        <f>100*(1+E47)*(1+E49)</f>
        <v>120</v>
      </c>
      <c r="G47" s="25" t="s">
        <v>36</v>
      </c>
      <c r="H47" t="s">
        <v>66</v>
      </c>
      <c r="I47" s="23" t="s">
        <v>0</v>
      </c>
      <c r="J47" s="13" cm="1">
        <f t="array" ref="J47:J49">J46*Qual[21]</f>
        <v>0</v>
      </c>
      <c r="K47" cm="1">
        <f t="array" ref="K47:K49">K46*Speed[21]</f>
        <v>0.3</v>
      </c>
      <c r="L47" s="1" cm="1">
        <f t="array" ref="L47:L49">L46*Prod[21]</f>
        <v>0</v>
      </c>
      <c r="M47" s="27">
        <f>J47+K47+L47</f>
        <v>0.3</v>
      </c>
      <c r="N47" s="24">
        <f>100*(1+M47)*(1+M49)</f>
        <v>130</v>
      </c>
      <c r="O47" s="25" t="s">
        <v>36</v>
      </c>
      <c r="P47" t="s">
        <v>66</v>
      </c>
      <c r="Q47" s="23" t="s">
        <v>0</v>
      </c>
      <c r="R47" s="13" cm="1">
        <f t="array" ref="R47:R49">R46*Qual[31]</f>
        <v>0</v>
      </c>
      <c r="S47" s="47">
        <f t="array" ref="S47:S49">S46*Speed[31]</f>
        <v>0.5</v>
      </c>
      <c r="T47" s="1" cm="1">
        <f t="array" ref="T47:T49">T46*Prod[31]</f>
        <v>0</v>
      </c>
      <c r="U47" s="27">
        <f>R47+S47+T47</f>
        <v>0.5</v>
      </c>
      <c r="V47" s="24">
        <f>100*(1+U47)*(1+U49)</f>
        <v>150</v>
      </c>
      <c r="W47" s="39" t="s">
        <v>36</v>
      </c>
      <c r="X47" s="23" t="s">
        <v>0</v>
      </c>
      <c r="Y47" s="13" cm="1">
        <f t="array" ref="Y47:Y49">Y46*Qual[31]</f>
        <v>0</v>
      </c>
      <c r="Z47" s="47" cm="1">
        <f t="array" ref="Z47:Z49">Z46*Speed[21]</f>
        <v>0.3</v>
      </c>
      <c r="AA47" s="1" cm="1">
        <f t="array" ref="AA47:AA49">AA46*Prod[31]</f>
        <v>0</v>
      </c>
      <c r="AB47" s="27">
        <f>Y47+Z47+AA47</f>
        <v>0.3</v>
      </c>
      <c r="AC47" s="24">
        <f>100*(1+AB47)*(1+AB49)</f>
        <v>130</v>
      </c>
      <c r="AD47" s="39" t="s">
        <v>36</v>
      </c>
    </row>
    <row r="48" spans="1:30" x14ac:dyDescent="0.25">
      <c r="A48" s="38" t="s">
        <v>4</v>
      </c>
      <c r="B48">
        <v>0</v>
      </c>
      <c r="C48">
        <v>-0.01</v>
      </c>
      <c r="D48">
        <v>0</v>
      </c>
      <c r="E48">
        <f>B48+C48+D48</f>
        <v>-0.01</v>
      </c>
      <c r="F48" s="14">
        <f>F47*(E48)</f>
        <v>-1.2</v>
      </c>
      <c r="G48" s="20" t="s">
        <v>35</v>
      </c>
      <c r="I48" s="23" t="s">
        <v>4</v>
      </c>
      <c r="J48">
        <v>0</v>
      </c>
      <c r="K48">
        <v>-1.4999999999999999E-2</v>
      </c>
      <c r="L48">
        <v>0</v>
      </c>
      <c r="M48">
        <f>J48+K48+L48</f>
        <v>-1.4999999999999999E-2</v>
      </c>
      <c r="N48" s="14">
        <f>N47*(M48)</f>
        <v>-1.95</v>
      </c>
      <c r="O48" s="20" t="s">
        <v>35</v>
      </c>
      <c r="Q48" s="23" t="s">
        <v>4</v>
      </c>
      <c r="R48">
        <v>0</v>
      </c>
      <c r="S48">
        <v>-2.5000000000000001E-2</v>
      </c>
      <c r="T48">
        <v>0</v>
      </c>
      <c r="U48">
        <f>R48+S48+T48</f>
        <v>-2.5000000000000001E-2</v>
      </c>
      <c r="V48" s="14">
        <f>V47*(U48)</f>
        <v>-3.75</v>
      </c>
      <c r="W48" s="40" t="s">
        <v>35</v>
      </c>
      <c r="X48" s="23" t="s">
        <v>4</v>
      </c>
      <c r="Y48">
        <v>0</v>
      </c>
      <c r="Z48">
        <v>-1.4999999999999999E-2</v>
      </c>
      <c r="AA48">
        <v>0</v>
      </c>
      <c r="AB48">
        <f>Y48+Z48+AA48</f>
        <v>-1.4999999999999999E-2</v>
      </c>
      <c r="AC48" s="14">
        <f>AC47*(AB48)</f>
        <v>-1.95</v>
      </c>
      <c r="AD48" s="40" t="s">
        <v>35</v>
      </c>
    </row>
    <row r="49" spans="1:30" x14ac:dyDescent="0.25">
      <c r="A49" s="41" t="s">
        <v>31</v>
      </c>
      <c r="B49" s="11">
        <v>0</v>
      </c>
      <c r="C49" s="11">
        <v>0</v>
      </c>
      <c r="D49" s="11">
        <v>0</v>
      </c>
      <c r="E49" s="11">
        <f>D49+C49+B49</f>
        <v>0</v>
      </c>
      <c r="F49" s="20"/>
      <c r="G49" s="20"/>
      <c r="I49" s="21" t="s">
        <v>31</v>
      </c>
      <c r="J49" s="11">
        <v>0</v>
      </c>
      <c r="K49" s="11">
        <v>0</v>
      </c>
      <c r="L49" s="11">
        <v>0</v>
      </c>
      <c r="M49" s="11">
        <f>L49+K49+J49</f>
        <v>0</v>
      </c>
      <c r="N49" s="20"/>
      <c r="O49" s="20"/>
      <c r="Q49" s="21" t="s">
        <v>31</v>
      </c>
      <c r="R49" s="11">
        <v>0</v>
      </c>
      <c r="S49" s="11">
        <v>0</v>
      </c>
      <c r="T49" s="11">
        <v>0</v>
      </c>
      <c r="U49" s="11">
        <f>T49+S49+R49</f>
        <v>0</v>
      </c>
      <c r="V49" s="20"/>
      <c r="W49" s="40"/>
      <c r="X49" s="21" t="s">
        <v>31</v>
      </c>
      <c r="Y49" s="11">
        <v>0</v>
      </c>
      <c r="Z49" s="11">
        <v>0</v>
      </c>
      <c r="AA49" s="11">
        <v>0</v>
      </c>
      <c r="AB49" s="11">
        <f>AA49+Z49+Y49</f>
        <v>0</v>
      </c>
      <c r="AC49" s="20"/>
      <c r="AD49" s="40"/>
    </row>
    <row r="50" spans="1:30" x14ac:dyDescent="0.25">
      <c r="A50" s="34"/>
      <c r="W50" s="35"/>
      <c r="AD50" s="35"/>
    </row>
    <row r="51" spans="1:30" x14ac:dyDescent="0.25">
      <c r="A51" s="36" t="s">
        <v>50</v>
      </c>
      <c r="B51" s="18"/>
      <c r="C51" s="18"/>
      <c r="D51" s="18"/>
      <c r="E51" s="18"/>
      <c r="F51" s="19"/>
      <c r="G51" s="19"/>
      <c r="I51" s="17" t="s">
        <v>51</v>
      </c>
      <c r="J51" s="18"/>
      <c r="K51" s="18"/>
      <c r="L51" s="18"/>
      <c r="M51" s="18"/>
      <c r="N51" s="19"/>
      <c r="O51" s="19"/>
      <c r="Q51" s="17" t="s">
        <v>52</v>
      </c>
      <c r="R51" s="18"/>
      <c r="S51" s="18"/>
      <c r="T51" s="18"/>
      <c r="U51" s="18"/>
      <c r="V51" s="19"/>
      <c r="W51" s="37"/>
      <c r="X51" s="17" t="s">
        <v>52</v>
      </c>
      <c r="Y51" s="18"/>
      <c r="Z51" s="18"/>
      <c r="AA51" s="18"/>
      <c r="AB51" s="18"/>
      <c r="AC51" s="19"/>
      <c r="AD51" s="37"/>
    </row>
    <row r="52" spans="1:30" ht="15.75" thickBot="1" x14ac:dyDescent="0.3">
      <c r="A52" s="34"/>
      <c r="B52" t="s">
        <v>4</v>
      </c>
      <c r="C52" t="s">
        <v>0</v>
      </c>
      <c r="D52" t="s">
        <v>31</v>
      </c>
      <c r="E52" s="11" t="s">
        <v>34</v>
      </c>
      <c r="F52" s="20" t="s">
        <v>29</v>
      </c>
      <c r="G52" s="22"/>
      <c r="I52" s="13"/>
      <c r="J52" t="s">
        <v>4</v>
      </c>
      <c r="K52" t="s">
        <v>0</v>
      </c>
      <c r="L52" t="s">
        <v>31</v>
      </c>
      <c r="M52" s="11" t="s">
        <v>34</v>
      </c>
      <c r="N52" s="20" t="s">
        <v>29</v>
      </c>
      <c r="O52" s="22"/>
      <c r="Q52" s="13"/>
      <c r="R52" t="s">
        <v>60</v>
      </c>
      <c r="S52" t="s">
        <v>61</v>
      </c>
      <c r="T52" t="s">
        <v>62</v>
      </c>
      <c r="U52" s="11" t="s">
        <v>34</v>
      </c>
      <c r="V52" s="20" t="s">
        <v>29</v>
      </c>
      <c r="W52" s="35"/>
      <c r="X52" s="13"/>
      <c r="Y52" t="s">
        <v>60</v>
      </c>
      <c r="Z52" t="s">
        <v>61</v>
      </c>
      <c r="AA52" t="s">
        <v>62</v>
      </c>
      <c r="AB52" s="11" t="s">
        <v>34</v>
      </c>
      <c r="AC52" s="20" t="s">
        <v>29</v>
      </c>
      <c r="AD52" s="35"/>
    </row>
    <row r="53" spans="1:30" ht="15.75" thickBot="1" x14ac:dyDescent="0.3">
      <c r="A53" s="34" t="s">
        <v>41</v>
      </c>
      <c r="B53" s="28">
        <f>A42</f>
        <v>0</v>
      </c>
      <c r="C53" s="29">
        <f>B42</f>
        <v>1</v>
      </c>
      <c r="D53" s="30">
        <f>C42</f>
        <v>0</v>
      </c>
      <c r="E53" s="1">
        <f>B53+C53+D53</f>
        <v>1</v>
      </c>
      <c r="F53" s="22"/>
      <c r="G53" s="22"/>
      <c r="H53" t="s">
        <v>67</v>
      </c>
      <c r="I53" s="13" t="s">
        <v>41</v>
      </c>
      <c r="J53" s="28">
        <f>A42</f>
        <v>0</v>
      </c>
      <c r="K53" s="29">
        <f>B42</f>
        <v>1</v>
      </c>
      <c r="L53" s="30">
        <f>C42</f>
        <v>0</v>
      </c>
      <c r="M53" s="1">
        <f>J53+K53+L53</f>
        <v>1</v>
      </c>
      <c r="N53" s="22"/>
      <c r="O53" s="22"/>
      <c r="P53" t="s">
        <v>67</v>
      </c>
      <c r="Q53" s="13" t="s">
        <v>41</v>
      </c>
      <c r="R53" s="28">
        <f>A42</f>
        <v>0</v>
      </c>
      <c r="S53" s="29">
        <f>B42</f>
        <v>1</v>
      </c>
      <c r="T53" s="30">
        <f>C42</f>
        <v>0</v>
      </c>
      <c r="U53" s="1">
        <f>R53+S53+T53</f>
        <v>1</v>
      </c>
      <c r="V53" s="22"/>
      <c r="W53" s="35"/>
      <c r="X53" s="13" t="s">
        <v>41</v>
      </c>
      <c r="Y53" s="28">
        <f>R53</f>
        <v>0</v>
      </c>
      <c r="Z53" s="28">
        <f t="shared" ref="Z53:AA53" si="1">S53</f>
        <v>1</v>
      </c>
      <c r="AA53" s="28">
        <f t="shared" si="1"/>
        <v>0</v>
      </c>
      <c r="AB53" s="1">
        <f>Y53+Z53+AA53</f>
        <v>1</v>
      </c>
      <c r="AC53" s="22"/>
      <c r="AD53" s="35"/>
    </row>
    <row r="54" spans="1:30" x14ac:dyDescent="0.25">
      <c r="A54" s="38" t="s">
        <v>0</v>
      </c>
      <c r="B54" cm="1">
        <f t="array" ref="B54:B56">B53*Qual[12]</f>
        <v>0</v>
      </c>
      <c r="C54" cm="1">
        <f t="array" ref="C54:C56">C53*Speed[12]</f>
        <v>0.26</v>
      </c>
      <c r="D54" s="1" cm="1">
        <f t="array" ref="D54:D56">D53*Prod[12]</f>
        <v>0</v>
      </c>
      <c r="E54" s="1">
        <f>B54+C54+D54</f>
        <v>0.26</v>
      </c>
      <c r="F54" s="24">
        <f>100*(1+E54)*(1+E56)</f>
        <v>126</v>
      </c>
      <c r="G54" s="25" t="s">
        <v>36</v>
      </c>
      <c r="I54" s="23" t="s">
        <v>0</v>
      </c>
      <c r="J54" s="13" cm="1">
        <f t="array" ref="J54:J56">J53*Qual[22]</f>
        <v>0</v>
      </c>
      <c r="K54" cm="1">
        <f t="array" ref="K54:K56">K53*Speed[22]</f>
        <v>0.39</v>
      </c>
      <c r="L54" s="1" cm="1">
        <f t="array" ref="L54:L56">L53*Prod[22]</f>
        <v>0</v>
      </c>
      <c r="M54" s="27">
        <f>J54+K54+L54</f>
        <v>0.39</v>
      </c>
      <c r="N54" s="24">
        <f>100*(1+M54)*(1+M56)</f>
        <v>139</v>
      </c>
      <c r="O54" s="25" t="s">
        <v>36</v>
      </c>
      <c r="Q54" s="23" t="s">
        <v>0</v>
      </c>
      <c r="R54" s="13" cm="1">
        <f t="array" ref="R54:R56">R53*Qual[32]</f>
        <v>0</v>
      </c>
      <c r="S54" s="47">
        <f t="array" ref="S54:S56">S53*Speed[32]</f>
        <v>0.65</v>
      </c>
      <c r="T54" s="1" cm="1">
        <f t="array" ref="T54:T56">T53*Prod[32]</f>
        <v>0</v>
      </c>
      <c r="U54" s="27">
        <f>R54+S54+T54</f>
        <v>0.65</v>
      </c>
      <c r="V54" s="24">
        <f>100*(1+U54)*(1+U56)</f>
        <v>165</v>
      </c>
      <c r="W54" s="39" t="s">
        <v>36</v>
      </c>
      <c r="X54" s="23" t="s">
        <v>0</v>
      </c>
      <c r="Y54" s="13" cm="1">
        <f t="array" ref="Y54:Y56">Y53*Qual[32]</f>
        <v>0</v>
      </c>
      <c r="Z54" s="47" cm="1">
        <f t="array" ref="Z54:Z56">Z53*Speed[22]</f>
        <v>0.39</v>
      </c>
      <c r="AA54" s="1" cm="1">
        <f t="array" ref="AA54:AA56">AA53*Prod[32]</f>
        <v>0</v>
      </c>
      <c r="AB54" s="27">
        <f>Y54+Z54+AA54</f>
        <v>0.39</v>
      </c>
      <c r="AC54" s="24">
        <f>100*(1+AB54)*(1+AB56)</f>
        <v>139</v>
      </c>
      <c r="AD54" s="39" t="s">
        <v>36</v>
      </c>
    </row>
    <row r="55" spans="1:30" x14ac:dyDescent="0.25">
      <c r="A55" s="38" t="s">
        <v>4</v>
      </c>
      <c r="B55">
        <v>0</v>
      </c>
      <c r="C55">
        <v>-0.01</v>
      </c>
      <c r="D55">
        <v>0</v>
      </c>
      <c r="E55">
        <f>B55+C55+D55</f>
        <v>-0.01</v>
      </c>
      <c r="F55" s="14">
        <f>F54*(E55)</f>
        <v>-1.26</v>
      </c>
      <c r="G55" s="20" t="s">
        <v>35</v>
      </c>
      <c r="I55" s="23" t="s">
        <v>4</v>
      </c>
      <c r="J55">
        <v>0</v>
      </c>
      <c r="K55">
        <v>-1.4999999999999999E-2</v>
      </c>
      <c r="L55">
        <v>0</v>
      </c>
      <c r="M55">
        <f>J55+K55+L55</f>
        <v>-1.4999999999999999E-2</v>
      </c>
      <c r="N55" s="14">
        <f>N54*(M55)</f>
        <v>-2.085</v>
      </c>
      <c r="O55" s="20" t="s">
        <v>35</v>
      </c>
      <c r="Q55" s="23" t="s">
        <v>4</v>
      </c>
      <c r="R55">
        <v>0</v>
      </c>
      <c r="S55">
        <v>-2.5000000000000001E-2</v>
      </c>
      <c r="T55">
        <v>0</v>
      </c>
      <c r="U55">
        <f>R55+S55+T55</f>
        <v>-2.5000000000000001E-2</v>
      </c>
      <c r="V55" s="14">
        <f>V54*(U55)</f>
        <v>-4.125</v>
      </c>
      <c r="W55" s="40" t="s">
        <v>35</v>
      </c>
      <c r="X55" s="23" t="s">
        <v>4</v>
      </c>
      <c r="Y55">
        <v>0</v>
      </c>
      <c r="Z55">
        <v>-1.4999999999999999E-2</v>
      </c>
      <c r="AA55">
        <v>0</v>
      </c>
      <c r="AB55">
        <f>Y55+Z55+AA55</f>
        <v>-1.4999999999999999E-2</v>
      </c>
      <c r="AC55" s="14">
        <f>AC54*(AB55)</f>
        <v>-2.085</v>
      </c>
      <c r="AD55" s="40" t="s">
        <v>35</v>
      </c>
    </row>
    <row r="56" spans="1:30" ht="15.75" thickBot="1" x14ac:dyDescent="0.3">
      <c r="A56" s="42" t="s">
        <v>31</v>
      </c>
      <c r="B56" s="43">
        <v>0</v>
      </c>
      <c r="C56" s="43">
        <v>0</v>
      </c>
      <c r="D56" s="43">
        <v>0</v>
      </c>
      <c r="E56" s="43">
        <f>D56+C56+B56</f>
        <v>0</v>
      </c>
      <c r="F56" s="44"/>
      <c r="G56" s="44"/>
      <c r="H56" s="43"/>
      <c r="I56" s="45" t="s">
        <v>31</v>
      </c>
      <c r="J56" s="43">
        <v>0</v>
      </c>
      <c r="K56" s="43">
        <v>0</v>
      </c>
      <c r="L56" s="43">
        <v>0</v>
      </c>
      <c r="M56" s="43">
        <f>L56+K56+J56</f>
        <v>0</v>
      </c>
      <c r="N56" s="44"/>
      <c r="O56" s="44"/>
      <c r="P56" s="43"/>
      <c r="Q56" s="45" t="s">
        <v>31</v>
      </c>
      <c r="R56" s="43">
        <v>0</v>
      </c>
      <c r="S56" s="43">
        <v>0</v>
      </c>
      <c r="T56" s="43">
        <v>0</v>
      </c>
      <c r="U56" s="43">
        <f>T56+S56+R56</f>
        <v>0</v>
      </c>
      <c r="V56" s="44"/>
      <c r="W56" s="46"/>
      <c r="X56" s="45" t="s">
        <v>31</v>
      </c>
      <c r="Y56" s="43">
        <v>0</v>
      </c>
      <c r="Z56" s="43">
        <v>0</v>
      </c>
      <c r="AA56" s="43">
        <v>0</v>
      </c>
      <c r="AB56" s="43">
        <f>AA56+Z56+Y56</f>
        <v>0</v>
      </c>
      <c r="AC56" s="44"/>
      <c r="AD56" s="46"/>
    </row>
    <row r="67" spans="2:13" x14ac:dyDescent="0.25">
      <c r="B67" s="17" t="s">
        <v>100</v>
      </c>
      <c r="C67" s="18"/>
      <c r="D67" s="19"/>
      <c r="F67" s="17" t="s">
        <v>100</v>
      </c>
      <c r="G67" s="18"/>
      <c r="H67" s="19"/>
      <c r="K67" s="17" t="s">
        <v>100</v>
      </c>
      <c r="L67" s="18"/>
      <c r="M67" s="19"/>
    </row>
    <row r="68" spans="2:13" x14ac:dyDescent="0.25">
      <c r="B68" s="23">
        <v>1</v>
      </c>
      <c r="C68" t="s">
        <v>43</v>
      </c>
      <c r="D68" s="22"/>
      <c r="F68" s="23">
        <v>1</v>
      </c>
      <c r="G68" t="s">
        <v>43</v>
      </c>
      <c r="H68" s="22"/>
      <c r="K68" s="23">
        <v>9</v>
      </c>
      <c r="L68" t="s">
        <v>43</v>
      </c>
      <c r="M68" s="22"/>
    </row>
    <row r="69" spans="2:13" x14ac:dyDescent="0.25">
      <c r="B69" s="23">
        <v>1.5</v>
      </c>
      <c r="C69" t="s">
        <v>44</v>
      </c>
      <c r="D69" s="22"/>
      <c r="F69" s="23">
        <v>1.5</v>
      </c>
      <c r="G69" t="s">
        <v>44</v>
      </c>
      <c r="H69" s="22"/>
      <c r="K69" s="23">
        <v>1.5</v>
      </c>
      <c r="L69" t="s">
        <v>44</v>
      </c>
      <c r="M69" s="22"/>
    </row>
    <row r="70" spans="2:13" x14ac:dyDescent="0.25">
      <c r="B70" s="21">
        <v>2</v>
      </c>
      <c r="C70" t="s">
        <v>45</v>
      </c>
      <c r="D70" s="22"/>
      <c r="F70" s="21">
        <v>1</v>
      </c>
      <c r="G70" t="s">
        <v>45</v>
      </c>
      <c r="H70" s="22"/>
      <c r="K70" s="21">
        <v>18</v>
      </c>
      <c r="L70" t="s">
        <v>116</v>
      </c>
      <c r="M70" s="22"/>
    </row>
    <row r="71" spans="2:13" x14ac:dyDescent="0.25">
      <c r="B71" s="12">
        <f>B70*(B69/SQRT(B68))</f>
        <v>3</v>
      </c>
      <c r="C71" s="11" t="s">
        <v>46</v>
      </c>
      <c r="D71" s="20"/>
      <c r="F71" s="12">
        <f>F70*(F69/SQRT(F68))</f>
        <v>1.5</v>
      </c>
      <c r="G71" s="11" t="s">
        <v>46</v>
      </c>
      <c r="H71" s="20"/>
      <c r="K71" s="12">
        <f>K70*(K69/SQRT(K68))</f>
        <v>9</v>
      </c>
      <c r="L71" s="11" t="s">
        <v>46</v>
      </c>
      <c r="M71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8190E-BE99-4137-A8D9-4FD3482CCDF7}">
  <dimension ref="A1:R38"/>
  <sheetViews>
    <sheetView workbookViewId="0">
      <selection activeCell="P4" sqref="P4"/>
    </sheetView>
  </sheetViews>
  <sheetFormatPr defaultRowHeight="15" x14ac:dyDescent="0.25"/>
  <cols>
    <col min="1" max="1" width="9.85546875" customWidth="1"/>
    <col min="2" max="2" width="9.28515625" customWidth="1"/>
    <col min="6" max="6" width="10.85546875" customWidth="1"/>
    <col min="7" max="7" width="9.5703125" customWidth="1"/>
    <col min="11" max="11" width="10.85546875" customWidth="1"/>
    <col min="12" max="12" width="10.7109375" customWidth="1"/>
  </cols>
  <sheetData>
    <row r="1" spans="1:16" x14ac:dyDescent="0.25">
      <c r="A1" t="s">
        <v>10</v>
      </c>
      <c r="F1" t="s">
        <v>5</v>
      </c>
      <c r="K1" t="s">
        <v>8</v>
      </c>
    </row>
    <row r="2" spans="1:16" x14ac:dyDescent="0.25">
      <c r="A2" t="s">
        <v>3</v>
      </c>
      <c r="B2" t="s">
        <v>2</v>
      </c>
      <c r="C2" t="s">
        <v>79</v>
      </c>
      <c r="D2" t="s">
        <v>4</v>
      </c>
      <c r="F2" t="s">
        <v>7</v>
      </c>
      <c r="G2" t="s">
        <v>6</v>
      </c>
      <c r="H2" t="s">
        <v>79</v>
      </c>
      <c r="I2" t="s">
        <v>4</v>
      </c>
      <c r="K2" t="s">
        <v>7</v>
      </c>
      <c r="L2" t="s">
        <v>9</v>
      </c>
      <c r="M2" t="s">
        <v>79</v>
      </c>
      <c r="N2" t="s">
        <v>4</v>
      </c>
      <c r="P2" t="s">
        <v>103</v>
      </c>
    </row>
    <row r="3" spans="1:16" x14ac:dyDescent="0.25">
      <c r="A3" s="1">
        <v>0.2</v>
      </c>
      <c r="B3" s="1">
        <v>-0.01</v>
      </c>
      <c r="C3">
        <v>1</v>
      </c>
      <c r="D3">
        <v>1</v>
      </c>
      <c r="F3" s="1">
        <v>-0.05</v>
      </c>
      <c r="G3" s="1">
        <v>0.01</v>
      </c>
      <c r="H3">
        <v>1</v>
      </c>
      <c r="I3">
        <v>1</v>
      </c>
      <c r="K3" s="1">
        <v>-0.05</v>
      </c>
      <c r="L3" s="1">
        <v>0.04</v>
      </c>
      <c r="M3">
        <v>1</v>
      </c>
      <c r="N3">
        <v>1</v>
      </c>
      <c r="P3" t="s">
        <v>105</v>
      </c>
    </row>
    <row r="4" spans="1:16" x14ac:dyDescent="0.25">
      <c r="A4" s="1">
        <v>0.26</v>
      </c>
      <c r="B4" s="1">
        <v>-0.01</v>
      </c>
      <c r="C4">
        <v>1</v>
      </c>
      <c r="D4">
        <v>2</v>
      </c>
      <c r="F4" s="1">
        <v>-0.05</v>
      </c>
      <c r="G4" s="1">
        <v>1.2999999999999999E-2</v>
      </c>
      <c r="H4">
        <v>1</v>
      </c>
      <c r="I4">
        <v>2</v>
      </c>
      <c r="K4" s="1">
        <v>-0.05</v>
      </c>
      <c r="L4" s="1">
        <v>0.05</v>
      </c>
      <c r="M4">
        <v>1</v>
      </c>
      <c r="N4">
        <v>2</v>
      </c>
    </row>
    <row r="5" spans="1:16" x14ac:dyDescent="0.25">
      <c r="A5" s="1">
        <v>0.32</v>
      </c>
      <c r="B5" s="1">
        <v>-0.01</v>
      </c>
      <c r="C5">
        <v>1</v>
      </c>
      <c r="D5">
        <v>3</v>
      </c>
      <c r="F5" s="1">
        <v>-0.05</v>
      </c>
      <c r="G5" s="1">
        <v>1.6E-2</v>
      </c>
      <c r="H5">
        <v>1</v>
      </c>
      <c r="I5">
        <v>3</v>
      </c>
      <c r="K5" s="1">
        <v>-0.05</v>
      </c>
      <c r="L5" s="1">
        <v>0.06</v>
      </c>
      <c r="M5">
        <v>1</v>
      </c>
      <c r="N5">
        <v>3</v>
      </c>
    </row>
    <row r="6" spans="1:16" x14ac:dyDescent="0.25">
      <c r="A6" s="1">
        <v>0.38</v>
      </c>
      <c r="B6" s="1">
        <v>-0.01</v>
      </c>
      <c r="C6">
        <v>1</v>
      </c>
      <c r="D6">
        <v>4</v>
      </c>
      <c r="F6" s="1">
        <v>-0.05</v>
      </c>
      <c r="G6" s="1">
        <v>1.9E-2</v>
      </c>
      <c r="H6">
        <v>1</v>
      </c>
      <c r="I6">
        <v>4</v>
      </c>
      <c r="K6" s="1">
        <v>-0.05</v>
      </c>
      <c r="L6" s="1">
        <v>7.0000000000000007E-2</v>
      </c>
      <c r="M6">
        <v>1</v>
      </c>
      <c r="N6">
        <v>4</v>
      </c>
    </row>
    <row r="7" spans="1:16" x14ac:dyDescent="0.25">
      <c r="A7" s="1">
        <v>0.5</v>
      </c>
      <c r="B7" s="1">
        <v>-0.01</v>
      </c>
      <c r="C7">
        <v>1</v>
      </c>
      <c r="D7">
        <v>5</v>
      </c>
      <c r="F7" s="1">
        <v>-0.05</v>
      </c>
      <c r="G7" s="1">
        <v>2.5000000000000001E-2</v>
      </c>
      <c r="H7">
        <v>1</v>
      </c>
      <c r="I7">
        <v>5</v>
      </c>
      <c r="K7" s="1">
        <v>-0.05</v>
      </c>
      <c r="L7" s="1">
        <v>0.09</v>
      </c>
      <c r="M7">
        <v>1</v>
      </c>
      <c r="N7">
        <v>5</v>
      </c>
    </row>
    <row r="8" spans="1:16" x14ac:dyDescent="0.25">
      <c r="A8" s="1">
        <v>0.3</v>
      </c>
      <c r="B8" s="1">
        <v>-1.4999999999999999E-2</v>
      </c>
      <c r="C8">
        <v>2</v>
      </c>
      <c r="D8">
        <v>1</v>
      </c>
      <c r="F8" s="1">
        <v>-0.05</v>
      </c>
      <c r="G8" s="1">
        <v>0.02</v>
      </c>
      <c r="H8">
        <v>2</v>
      </c>
      <c r="I8">
        <v>1</v>
      </c>
      <c r="K8" s="1">
        <v>-0.1</v>
      </c>
      <c r="L8" s="1">
        <v>0.06</v>
      </c>
      <c r="M8">
        <v>2</v>
      </c>
      <c r="N8">
        <v>1</v>
      </c>
    </row>
    <row r="9" spans="1:16" x14ac:dyDescent="0.25">
      <c r="A9" s="1">
        <v>0.39</v>
      </c>
      <c r="B9" s="1">
        <v>-1.4999999999999999E-2</v>
      </c>
      <c r="C9">
        <v>2</v>
      </c>
      <c r="D9">
        <v>2</v>
      </c>
      <c r="F9" s="1">
        <v>-0.05</v>
      </c>
      <c r="G9" s="1">
        <v>2.5999999999999999E-2</v>
      </c>
      <c r="H9">
        <v>2</v>
      </c>
      <c r="I9">
        <v>2</v>
      </c>
      <c r="K9" s="1">
        <v>-0.1</v>
      </c>
      <c r="L9" s="1">
        <v>7.0000000000000007E-2</v>
      </c>
      <c r="M9">
        <v>2</v>
      </c>
      <c r="N9">
        <v>2</v>
      </c>
    </row>
    <row r="10" spans="1:16" x14ac:dyDescent="0.25">
      <c r="A10" s="1">
        <v>0.48</v>
      </c>
      <c r="B10" s="1">
        <v>-1.4999999999999999E-2</v>
      </c>
      <c r="C10">
        <v>2</v>
      </c>
      <c r="D10">
        <v>3</v>
      </c>
      <c r="F10" s="1">
        <v>-0.05</v>
      </c>
      <c r="G10" s="1">
        <v>3.2000000000000001E-2</v>
      </c>
      <c r="H10">
        <v>2</v>
      </c>
      <c r="I10">
        <v>3</v>
      </c>
      <c r="K10" s="1">
        <v>-0.1</v>
      </c>
      <c r="L10" s="1">
        <v>0.08</v>
      </c>
      <c r="M10">
        <v>2</v>
      </c>
      <c r="N10">
        <v>3</v>
      </c>
    </row>
    <row r="11" spans="1:16" x14ac:dyDescent="0.25">
      <c r="A11" s="1">
        <v>0.56999999999999995</v>
      </c>
      <c r="B11" s="1">
        <v>-1.4999999999999999E-2</v>
      </c>
      <c r="C11">
        <v>2</v>
      </c>
      <c r="D11">
        <v>4</v>
      </c>
      <c r="F11" s="1">
        <v>-0.05</v>
      </c>
      <c r="G11" s="1">
        <v>3.7999999999999999E-2</v>
      </c>
      <c r="H11">
        <v>2</v>
      </c>
      <c r="I11">
        <v>4</v>
      </c>
      <c r="K11" s="1">
        <v>-0.1</v>
      </c>
      <c r="L11" s="1">
        <v>0.11</v>
      </c>
      <c r="M11">
        <v>2</v>
      </c>
      <c r="N11">
        <v>4</v>
      </c>
    </row>
    <row r="12" spans="1:16" x14ac:dyDescent="0.25">
      <c r="A12" s="1">
        <v>0.75</v>
      </c>
      <c r="B12" s="1">
        <v>-1.4999999999999999E-2</v>
      </c>
      <c r="C12">
        <v>2</v>
      </c>
      <c r="D12">
        <v>5</v>
      </c>
      <c r="F12" s="1">
        <v>-0.05</v>
      </c>
      <c r="G12" s="1">
        <v>0.05</v>
      </c>
      <c r="H12">
        <v>2</v>
      </c>
      <c r="I12">
        <v>5</v>
      </c>
      <c r="K12" s="1">
        <v>-0.1</v>
      </c>
      <c r="L12" s="1">
        <v>0.15</v>
      </c>
      <c r="M12">
        <v>2</v>
      </c>
      <c r="N12">
        <v>5</v>
      </c>
    </row>
    <row r="13" spans="1:16" x14ac:dyDescent="0.25">
      <c r="A13" s="1">
        <v>0.5</v>
      </c>
      <c r="B13" s="1">
        <v>-2.5000000000000001E-2</v>
      </c>
      <c r="C13">
        <v>3</v>
      </c>
      <c r="D13">
        <v>1</v>
      </c>
      <c r="F13" s="1">
        <v>-0.05</v>
      </c>
      <c r="G13" s="1">
        <v>2.5000000000000001E-2</v>
      </c>
      <c r="H13">
        <v>3</v>
      </c>
      <c r="I13">
        <v>1</v>
      </c>
      <c r="K13" s="1">
        <v>-0.15</v>
      </c>
      <c r="L13" s="1">
        <v>0.1</v>
      </c>
      <c r="M13">
        <v>3</v>
      </c>
      <c r="N13">
        <v>1</v>
      </c>
    </row>
    <row r="14" spans="1:16" x14ac:dyDescent="0.25">
      <c r="A14" s="1">
        <v>0.65</v>
      </c>
      <c r="B14" s="1">
        <v>-2.5000000000000001E-2</v>
      </c>
      <c r="C14">
        <v>3</v>
      </c>
      <c r="D14">
        <v>2</v>
      </c>
      <c r="F14" s="1">
        <v>-0.05</v>
      </c>
      <c r="G14" s="1">
        <v>3.2000000000000001E-2</v>
      </c>
      <c r="H14">
        <v>3</v>
      </c>
      <c r="I14">
        <v>2</v>
      </c>
      <c r="K14" s="1">
        <v>-0.15</v>
      </c>
      <c r="L14" s="1">
        <v>0.13</v>
      </c>
      <c r="M14">
        <v>3</v>
      </c>
      <c r="N14">
        <v>2</v>
      </c>
    </row>
    <row r="15" spans="1:16" x14ac:dyDescent="0.25">
      <c r="A15" s="1">
        <v>0.8</v>
      </c>
      <c r="B15" s="1">
        <v>-2.5000000000000001E-2</v>
      </c>
      <c r="C15">
        <v>3</v>
      </c>
      <c r="D15">
        <v>3</v>
      </c>
      <c r="F15" s="1">
        <v>-0.05</v>
      </c>
      <c r="G15" s="1">
        <v>0.04</v>
      </c>
      <c r="H15">
        <v>3</v>
      </c>
      <c r="I15">
        <v>3</v>
      </c>
      <c r="K15" s="1">
        <v>-0.15</v>
      </c>
      <c r="L15" s="1">
        <v>0.16</v>
      </c>
      <c r="M15">
        <v>3</v>
      </c>
      <c r="N15">
        <v>3</v>
      </c>
    </row>
    <row r="16" spans="1:16" x14ac:dyDescent="0.25">
      <c r="A16" s="1">
        <v>0.95</v>
      </c>
      <c r="B16" s="1">
        <v>-2.5000000000000001E-2</v>
      </c>
      <c r="C16">
        <v>3</v>
      </c>
      <c r="D16">
        <v>4</v>
      </c>
      <c r="F16" s="1">
        <v>-0.05</v>
      </c>
      <c r="G16" s="1">
        <v>4.7E-2</v>
      </c>
      <c r="H16">
        <v>3</v>
      </c>
      <c r="I16">
        <v>4</v>
      </c>
      <c r="K16" s="1">
        <v>-0.15</v>
      </c>
      <c r="L16" s="1">
        <v>0.19</v>
      </c>
      <c r="M16">
        <v>3</v>
      </c>
      <c r="N16">
        <v>4</v>
      </c>
    </row>
    <row r="17" spans="1:18" x14ac:dyDescent="0.25">
      <c r="A17" s="1">
        <v>1.25</v>
      </c>
      <c r="B17" s="1">
        <v>-2.5000000000000001E-2</v>
      </c>
      <c r="C17">
        <v>3</v>
      </c>
      <c r="D17">
        <v>5</v>
      </c>
      <c r="F17" s="1">
        <v>-0.05</v>
      </c>
      <c r="G17" s="1">
        <v>6.2E-2</v>
      </c>
      <c r="H17">
        <v>3</v>
      </c>
      <c r="I17">
        <v>5</v>
      </c>
      <c r="K17" s="1">
        <v>-0.15</v>
      </c>
      <c r="L17" s="1">
        <v>0.25</v>
      </c>
      <c r="M17">
        <v>3</v>
      </c>
      <c r="N17">
        <v>5</v>
      </c>
    </row>
    <row r="21" spans="1:18" x14ac:dyDescent="0.25">
      <c r="B21" t="s">
        <v>11</v>
      </c>
    </row>
    <row r="22" spans="1:18" x14ac:dyDescent="0.25">
      <c r="B22" t="s">
        <v>13</v>
      </c>
      <c r="C22" t="s">
        <v>14</v>
      </c>
      <c r="D22" t="s">
        <v>15</v>
      </c>
      <c r="E22" t="s">
        <v>16</v>
      </c>
      <c r="F22" t="s">
        <v>17</v>
      </c>
      <c r="G22" t="s">
        <v>18</v>
      </c>
      <c r="H22" t="s">
        <v>19</v>
      </c>
      <c r="I22" t="s">
        <v>20</v>
      </c>
      <c r="J22" t="s">
        <v>21</v>
      </c>
      <c r="K22" t="s">
        <v>22</v>
      </c>
      <c r="L22" t="s">
        <v>23</v>
      </c>
      <c r="M22" t="s">
        <v>24</v>
      </c>
      <c r="N22" t="s">
        <v>25</v>
      </c>
      <c r="O22" t="s">
        <v>26</v>
      </c>
      <c r="P22" t="s">
        <v>27</v>
      </c>
      <c r="Q22" t="s">
        <v>104</v>
      </c>
    </row>
    <row r="23" spans="1:18" x14ac:dyDescent="0.25">
      <c r="A23" t="s">
        <v>1</v>
      </c>
      <c r="B23" s="2">
        <v>0.2</v>
      </c>
      <c r="C23" s="3">
        <v>0.26</v>
      </c>
      <c r="D23" s="2">
        <v>0.32</v>
      </c>
      <c r="E23" s="3">
        <v>0.38</v>
      </c>
      <c r="F23" s="2">
        <v>0.5</v>
      </c>
      <c r="G23" s="3">
        <v>0.3</v>
      </c>
      <c r="H23" s="2">
        <v>0.39</v>
      </c>
      <c r="I23" s="3">
        <v>0.48</v>
      </c>
      <c r="J23" s="2">
        <v>0.56999999999999995</v>
      </c>
      <c r="K23" s="3">
        <v>0.75</v>
      </c>
      <c r="L23" s="2">
        <v>0.5</v>
      </c>
      <c r="M23" s="3">
        <v>0.65</v>
      </c>
      <c r="N23" s="2">
        <v>0.8</v>
      </c>
      <c r="O23" s="3">
        <v>0.95</v>
      </c>
      <c r="P23" s="2">
        <v>1.25</v>
      </c>
    </row>
    <row r="24" spans="1:18" x14ac:dyDescent="0.25">
      <c r="A24" t="s">
        <v>12</v>
      </c>
      <c r="B24" s="4">
        <v>-0.01</v>
      </c>
      <c r="C24" s="5">
        <v>-0.01</v>
      </c>
      <c r="D24" s="4">
        <v>-0.01</v>
      </c>
      <c r="E24" s="5">
        <v>-0.01</v>
      </c>
      <c r="F24" s="4">
        <v>-0.01</v>
      </c>
      <c r="G24" s="5">
        <v>-1.4999999999999999E-2</v>
      </c>
      <c r="H24" s="4">
        <v>-1.4999999999999999E-2</v>
      </c>
      <c r="I24" s="5">
        <v>-1.4999999999999999E-2</v>
      </c>
      <c r="J24" s="4">
        <v>-1.4999999999999999E-2</v>
      </c>
      <c r="K24" s="5">
        <v>-1.4999999999999999E-2</v>
      </c>
      <c r="L24" s="4">
        <v>-2.5000000000000001E-2</v>
      </c>
      <c r="M24" s="5">
        <v>-2.5000000000000001E-2</v>
      </c>
      <c r="N24" s="4">
        <v>-2.5000000000000001E-2</v>
      </c>
      <c r="O24" s="5">
        <v>-2.5000000000000001E-2</v>
      </c>
      <c r="P24" s="4">
        <v>-2.5000000000000001E-2</v>
      </c>
    </row>
    <row r="25" spans="1:18" x14ac:dyDescent="0.25">
      <c r="A25" t="s">
        <v>38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</row>
    <row r="27" spans="1:18" x14ac:dyDescent="0.25">
      <c r="R27" t="s">
        <v>37</v>
      </c>
    </row>
    <row r="28" spans="1:18" x14ac:dyDescent="0.25">
      <c r="B28" t="s">
        <v>5</v>
      </c>
    </row>
    <row r="29" spans="1:18" x14ac:dyDescent="0.25">
      <c r="B29" s="6" t="s">
        <v>13</v>
      </c>
      <c r="C29" s="7" t="s">
        <v>14</v>
      </c>
      <c r="D29" s="7" t="s">
        <v>15</v>
      </c>
      <c r="E29" s="7" t="s">
        <v>16</v>
      </c>
      <c r="F29" s="7" t="s">
        <v>17</v>
      </c>
      <c r="G29" s="7" t="s">
        <v>18</v>
      </c>
      <c r="H29" s="7" t="s">
        <v>19</v>
      </c>
      <c r="I29" s="7" t="s">
        <v>20</v>
      </c>
      <c r="J29" s="7" t="s">
        <v>21</v>
      </c>
      <c r="K29" s="7" t="s">
        <v>22</v>
      </c>
      <c r="L29" s="7" t="s">
        <v>23</v>
      </c>
      <c r="M29" s="7" t="s">
        <v>24</v>
      </c>
      <c r="N29" s="7" t="s">
        <v>25</v>
      </c>
      <c r="O29" s="7" t="s">
        <v>26</v>
      </c>
      <c r="P29" s="8" t="s">
        <v>27</v>
      </c>
    </row>
    <row r="30" spans="1:18" x14ac:dyDescent="0.25">
      <c r="A30" t="s">
        <v>1</v>
      </c>
      <c r="B30" s="9">
        <v>-0.05</v>
      </c>
      <c r="C30" s="9">
        <v>-0.05</v>
      </c>
      <c r="D30" s="9">
        <v>-0.05</v>
      </c>
      <c r="E30" s="9">
        <v>-0.05</v>
      </c>
      <c r="F30" s="9">
        <v>-0.05</v>
      </c>
      <c r="G30" s="9">
        <v>-0.05</v>
      </c>
      <c r="H30" s="9">
        <v>-0.05</v>
      </c>
      <c r="I30" s="9">
        <v>-0.05</v>
      </c>
      <c r="J30" s="9">
        <v>-0.05</v>
      </c>
      <c r="K30" s="9">
        <v>-0.05</v>
      </c>
      <c r="L30" s="9">
        <v>-0.05</v>
      </c>
      <c r="M30" s="9">
        <v>-0.05</v>
      </c>
      <c r="N30" s="9">
        <v>-0.05</v>
      </c>
      <c r="O30" s="9">
        <v>-0.05</v>
      </c>
      <c r="P30" s="9">
        <v>-0.05</v>
      </c>
    </row>
    <row r="31" spans="1:18" x14ac:dyDescent="0.25">
      <c r="A31" t="s">
        <v>12</v>
      </c>
      <c r="B31" s="10">
        <v>0.01</v>
      </c>
      <c r="C31" s="10">
        <v>1.2999999999999999E-2</v>
      </c>
      <c r="D31" s="10">
        <v>1.6E-2</v>
      </c>
      <c r="E31" s="10">
        <v>1.9E-2</v>
      </c>
      <c r="F31" s="10">
        <v>2.5000000000000001E-2</v>
      </c>
      <c r="G31" s="10">
        <v>0.02</v>
      </c>
      <c r="H31" s="10">
        <v>2.5999999999999999E-2</v>
      </c>
      <c r="I31" s="10">
        <v>3.2000000000000001E-2</v>
      </c>
      <c r="J31" s="10">
        <v>3.7999999999999999E-2</v>
      </c>
      <c r="K31" s="10">
        <v>0.05</v>
      </c>
      <c r="L31" s="10">
        <v>2.5000000000000001E-2</v>
      </c>
      <c r="M31" s="10">
        <v>3.2000000000000001E-2</v>
      </c>
      <c r="N31" s="10">
        <v>0.04</v>
      </c>
      <c r="O31" s="10">
        <v>4.7E-2</v>
      </c>
      <c r="P31" s="10">
        <v>6.2E-2</v>
      </c>
    </row>
    <row r="32" spans="1:18" x14ac:dyDescent="0.25">
      <c r="A32" t="s">
        <v>38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</row>
    <row r="34" spans="1:16" x14ac:dyDescent="0.25">
      <c r="B34" t="s">
        <v>8</v>
      </c>
    </row>
    <row r="35" spans="1:16" x14ac:dyDescent="0.25">
      <c r="B35" t="s">
        <v>13</v>
      </c>
      <c r="C35" t="s">
        <v>14</v>
      </c>
      <c r="D35" t="s">
        <v>15</v>
      </c>
      <c r="E35" t="s">
        <v>16</v>
      </c>
      <c r="F35" t="s">
        <v>17</v>
      </c>
      <c r="G35" t="s">
        <v>18</v>
      </c>
      <c r="H35" t="s">
        <v>19</v>
      </c>
      <c r="I35" t="s">
        <v>20</v>
      </c>
      <c r="J35" t="s">
        <v>21</v>
      </c>
      <c r="K35" t="s">
        <v>22</v>
      </c>
      <c r="L35" t="s">
        <v>23</v>
      </c>
      <c r="M35" t="s">
        <v>24</v>
      </c>
      <c r="N35" t="s">
        <v>25</v>
      </c>
      <c r="O35" t="s">
        <v>26</v>
      </c>
      <c r="P35" t="s">
        <v>27</v>
      </c>
    </row>
    <row r="36" spans="1:16" x14ac:dyDescent="0.25">
      <c r="A36" t="s">
        <v>1</v>
      </c>
      <c r="B36" s="1">
        <v>-0.05</v>
      </c>
      <c r="C36" s="1">
        <v>-0.05</v>
      </c>
      <c r="D36" s="1">
        <v>-0.05</v>
      </c>
      <c r="E36" s="1">
        <v>-0.05</v>
      </c>
      <c r="F36" s="1">
        <v>-0.05</v>
      </c>
      <c r="G36" s="1">
        <v>-0.1</v>
      </c>
      <c r="H36" s="1">
        <v>-0.1</v>
      </c>
      <c r="I36" s="1">
        <v>-0.1</v>
      </c>
      <c r="J36" s="1">
        <v>-0.1</v>
      </c>
      <c r="K36" s="1">
        <v>-0.1</v>
      </c>
      <c r="L36" s="1">
        <v>-0.15</v>
      </c>
      <c r="M36" s="1">
        <v>-0.15</v>
      </c>
      <c r="N36" s="1">
        <v>-0.15</v>
      </c>
      <c r="O36" s="1">
        <v>-0.15</v>
      </c>
      <c r="P36" s="1">
        <v>-0.15</v>
      </c>
    </row>
    <row r="37" spans="1:16" x14ac:dyDescent="0.25">
      <c r="A37" t="s">
        <v>12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x14ac:dyDescent="0.25">
      <c r="A38" t="s">
        <v>38</v>
      </c>
      <c r="B38" s="1">
        <v>0.04</v>
      </c>
      <c r="C38" s="1">
        <v>0.05</v>
      </c>
      <c r="D38" s="1">
        <v>0.06</v>
      </c>
      <c r="E38" s="1">
        <v>7.0000000000000007E-2</v>
      </c>
      <c r="F38" s="1">
        <v>0.09</v>
      </c>
      <c r="G38" s="1">
        <v>0.06</v>
      </c>
      <c r="H38" s="1">
        <v>7.0000000000000007E-2</v>
      </c>
      <c r="I38" s="1">
        <v>0.08</v>
      </c>
      <c r="J38" s="1">
        <v>0.11</v>
      </c>
      <c r="K38" s="1">
        <v>0.15</v>
      </c>
      <c r="L38" s="1">
        <v>0.1</v>
      </c>
      <c r="M38" s="1">
        <v>0.13</v>
      </c>
      <c r="N38" s="1">
        <v>0.16</v>
      </c>
      <c r="O38" s="1">
        <v>0.19</v>
      </c>
      <c r="P38" s="1">
        <v>0.25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67329-99EC-438B-8724-FEF5C18055DD}">
  <dimension ref="A1:AJ83"/>
  <sheetViews>
    <sheetView workbookViewId="0">
      <selection activeCell="O2" sqref="O2"/>
    </sheetView>
  </sheetViews>
  <sheetFormatPr defaultRowHeight="15" x14ac:dyDescent="0.25"/>
  <cols>
    <col min="1" max="1" width="14.5703125" customWidth="1"/>
  </cols>
  <sheetData>
    <row r="1" spans="1:36" x14ac:dyDescent="0.25">
      <c r="A1" t="s">
        <v>78</v>
      </c>
      <c r="C1" t="s">
        <v>68</v>
      </c>
      <c r="G1" t="s">
        <v>69</v>
      </c>
      <c r="K1" t="s">
        <v>70</v>
      </c>
      <c r="O1" t="s">
        <v>77</v>
      </c>
      <c r="S1" t="s">
        <v>106</v>
      </c>
      <c r="U1" t="s">
        <v>68</v>
      </c>
      <c r="Y1" t="s">
        <v>69</v>
      </c>
      <c r="AC1" t="s">
        <v>70</v>
      </c>
      <c r="AG1" t="s">
        <v>77</v>
      </c>
    </row>
    <row r="2" spans="1:36" x14ac:dyDescent="0.25">
      <c r="B2" s="17" cm="1">
        <f t="array" ref="B2:B4">QualNum*Qual[11]</f>
        <v>-0.2</v>
      </c>
      <c r="C2" s="18" cm="1">
        <f t="array" ref="C2:C4">SpeedNum*Speed[11]</f>
        <v>0</v>
      </c>
      <c r="D2" s="26" cm="1">
        <f t="array" ref="D2:D4">ProdNum*Prod[11]</f>
        <v>0</v>
      </c>
      <c r="E2" s="49">
        <f t="shared" ref="E2:E16" si="0">B2+C2+D2</f>
        <v>-0.2</v>
      </c>
      <c r="F2" s="18" cm="1">
        <f t="array" ref="F2:F4">QualNum*Qual[21]</f>
        <v>-0.2</v>
      </c>
      <c r="G2" s="18" cm="1">
        <f t="array" ref="G2:G4">SpeedNum*Speed[21]</f>
        <v>0</v>
      </c>
      <c r="H2" s="27" cm="1">
        <f t="array" ref="H2:H4">ProdNum*Prod[21]</f>
        <v>0</v>
      </c>
      <c r="I2" s="49">
        <f t="shared" ref="I2:I16" si="1">F2+G2+H2</f>
        <v>-0.2</v>
      </c>
      <c r="J2" s="17" cm="1">
        <f t="array" ref="J2:J4">QualNum*Qual[31]</f>
        <v>-0.2</v>
      </c>
      <c r="K2" s="18" cm="1">
        <f t="array" ref="K2:K4">SpeedNum*Speed[31]</f>
        <v>0</v>
      </c>
      <c r="L2" s="27" cm="1">
        <f t="array" ref="L2:L4">ProdNum*Prod[31]</f>
        <v>0</v>
      </c>
      <c r="M2" s="49">
        <f t="shared" ref="M2:M16" si="2">J2+K2+L2</f>
        <v>-0.2</v>
      </c>
      <c r="N2" s="17" cm="1">
        <f t="array" ref="N2:N4">QualNum*Qual[31]</f>
        <v>-0.2</v>
      </c>
      <c r="O2" s="18" cm="1">
        <f t="array" ref="O2:O4">SpeedNum*Speed[21]</f>
        <v>0</v>
      </c>
      <c r="P2" s="27" cm="1">
        <f t="array" ref="P2:P4">ProdNum*Prod[31]</f>
        <v>0</v>
      </c>
      <c r="Q2" s="49">
        <f t="shared" ref="Q2:Q16" si="3">N2+O2+P2</f>
        <v>-0.2</v>
      </c>
      <c r="R2" t="s">
        <v>0</v>
      </c>
      <c r="T2" s="17" cm="1">
        <f t="array" ref="T2:T4">QualNum2*Qual[11]</f>
        <v>-0.2</v>
      </c>
      <c r="U2" s="18" cm="1">
        <f t="array" ref="U2:U4">SpeedNum2*Speed[11]</f>
        <v>0.30000000000000004</v>
      </c>
      <c r="V2" s="26" cm="1">
        <f t="array" ref="V2:V4">ProdNum2*Prod[11]</f>
        <v>0</v>
      </c>
      <c r="W2" s="49">
        <f t="shared" ref="W2:W16" si="4">T2+U2+V2</f>
        <v>0.10000000000000003</v>
      </c>
      <c r="X2" s="18" cm="1">
        <f t="array" ref="X2:X4">QualNum2*Qual[21]</f>
        <v>-0.2</v>
      </c>
      <c r="Y2" s="18" cm="1">
        <f t="array" ref="Y2:Y4">SpeedNum2*Speed[21]</f>
        <v>0.44999999999999996</v>
      </c>
      <c r="Z2" s="27" cm="1">
        <f t="array" ref="Z2:Z4">ProdNum2*Prod[21]</f>
        <v>0</v>
      </c>
      <c r="AA2" s="49">
        <f t="shared" ref="AA2:AA16" si="5">X2+Y2+Z2</f>
        <v>0.24999999999999994</v>
      </c>
      <c r="AB2" s="17" cm="1">
        <f t="array" ref="AB2:AB4">QualNum2*Qual[31]</f>
        <v>-0.2</v>
      </c>
      <c r="AC2" s="18" cm="1">
        <f t="array" ref="AC2:AC4">SpeedNum2*Speed[31]</f>
        <v>0.75</v>
      </c>
      <c r="AD2" s="27" cm="1">
        <f t="array" ref="AD2:AD4">ProdNum2*Prod[31]</f>
        <v>0</v>
      </c>
      <c r="AE2" s="49">
        <f t="shared" ref="AE2:AE16" si="6">AB2+AC2+AD2</f>
        <v>0.55000000000000004</v>
      </c>
      <c r="AF2" s="17" cm="1">
        <f t="array" ref="AF2:AF4">QualNum2*Qual[31]</f>
        <v>-0.2</v>
      </c>
      <c r="AG2" s="18" cm="1">
        <f t="array" ref="AG2:AG4">SpeedNum2*Speed[21]</f>
        <v>0.44999999999999996</v>
      </c>
      <c r="AH2" s="27" cm="1">
        <f t="array" ref="AH2:AH4">ProdNum2*Prod[31]</f>
        <v>0</v>
      </c>
      <c r="AI2" s="49">
        <f t="shared" ref="AI2:AI16" si="7">AF2+AG2+AH2</f>
        <v>0.24999999999999994</v>
      </c>
      <c r="AJ2" t="s">
        <v>0</v>
      </c>
    </row>
    <row r="3" spans="1:36" x14ac:dyDescent="0.25">
      <c r="A3" s="48" t="s">
        <v>71</v>
      </c>
      <c r="B3" s="13">
        <v>0.04</v>
      </c>
      <c r="C3">
        <v>0</v>
      </c>
      <c r="D3">
        <v>0</v>
      </c>
      <c r="E3" s="50">
        <f t="shared" si="0"/>
        <v>0.04</v>
      </c>
      <c r="F3">
        <v>0.08</v>
      </c>
      <c r="G3">
        <v>0</v>
      </c>
      <c r="H3" s="22">
        <v>0</v>
      </c>
      <c r="I3" s="50">
        <f t="shared" si="1"/>
        <v>0.08</v>
      </c>
      <c r="J3" s="13">
        <v>0.1</v>
      </c>
      <c r="K3">
        <v>0</v>
      </c>
      <c r="L3" s="22">
        <v>0</v>
      </c>
      <c r="M3" s="50">
        <f t="shared" si="2"/>
        <v>0.1</v>
      </c>
      <c r="N3" s="13">
        <v>0.1</v>
      </c>
      <c r="O3">
        <v>0</v>
      </c>
      <c r="P3" s="22">
        <v>0</v>
      </c>
      <c r="Q3" s="50">
        <f t="shared" si="3"/>
        <v>0.1</v>
      </c>
      <c r="R3" t="s">
        <v>4</v>
      </c>
      <c r="S3" s="48" t="s">
        <v>71</v>
      </c>
      <c r="T3" s="13">
        <v>0.04</v>
      </c>
      <c r="U3">
        <v>-1.4999999999999999E-2</v>
      </c>
      <c r="V3">
        <v>0</v>
      </c>
      <c r="W3" s="50">
        <f t="shared" si="4"/>
        <v>2.5000000000000001E-2</v>
      </c>
      <c r="X3">
        <v>0.08</v>
      </c>
      <c r="Y3">
        <v>-2.2499999999999999E-2</v>
      </c>
      <c r="Z3" s="22">
        <v>0</v>
      </c>
      <c r="AA3" s="50">
        <f t="shared" si="5"/>
        <v>5.7500000000000002E-2</v>
      </c>
      <c r="AB3" s="13">
        <v>0.1</v>
      </c>
      <c r="AC3">
        <v>-3.7500000000000006E-2</v>
      </c>
      <c r="AD3" s="22">
        <v>0</v>
      </c>
      <c r="AE3" s="50">
        <f t="shared" si="6"/>
        <v>6.25E-2</v>
      </c>
      <c r="AF3" s="13">
        <v>0.1</v>
      </c>
      <c r="AG3">
        <v>-2.2499999999999999E-2</v>
      </c>
      <c r="AH3" s="22">
        <v>0</v>
      </c>
      <c r="AI3" s="50">
        <f t="shared" si="7"/>
        <v>7.7500000000000013E-2</v>
      </c>
      <c r="AJ3" t="s">
        <v>4</v>
      </c>
    </row>
    <row r="4" spans="1:36" x14ac:dyDescent="0.25">
      <c r="A4" s="48"/>
      <c r="B4" s="14">
        <v>0</v>
      </c>
      <c r="C4" s="11">
        <v>0</v>
      </c>
      <c r="D4" s="11">
        <v>0</v>
      </c>
      <c r="E4" s="51">
        <f t="shared" si="0"/>
        <v>0</v>
      </c>
      <c r="F4" s="11">
        <v>0</v>
      </c>
      <c r="G4" s="11">
        <v>0</v>
      </c>
      <c r="H4" s="20">
        <v>0</v>
      </c>
      <c r="I4" s="51">
        <f t="shared" si="1"/>
        <v>0</v>
      </c>
      <c r="J4" s="14">
        <v>0</v>
      </c>
      <c r="K4" s="11">
        <v>0</v>
      </c>
      <c r="L4" s="20">
        <v>0</v>
      </c>
      <c r="M4" s="51">
        <f t="shared" si="2"/>
        <v>0</v>
      </c>
      <c r="N4" s="14">
        <v>0</v>
      </c>
      <c r="O4" s="11">
        <v>0</v>
      </c>
      <c r="P4" s="20">
        <v>0</v>
      </c>
      <c r="Q4" s="51">
        <f t="shared" si="3"/>
        <v>0</v>
      </c>
      <c r="R4" t="s">
        <v>31</v>
      </c>
      <c r="S4" s="48"/>
      <c r="T4" s="14">
        <v>0</v>
      </c>
      <c r="U4" s="11">
        <v>0</v>
      </c>
      <c r="V4" s="11">
        <v>0</v>
      </c>
      <c r="W4" s="51">
        <f t="shared" si="4"/>
        <v>0</v>
      </c>
      <c r="X4" s="11">
        <v>0</v>
      </c>
      <c r="Y4" s="11">
        <v>0</v>
      </c>
      <c r="Z4" s="20">
        <v>0</v>
      </c>
      <c r="AA4" s="51">
        <f t="shared" si="5"/>
        <v>0</v>
      </c>
      <c r="AB4" s="14">
        <v>0</v>
      </c>
      <c r="AC4" s="11">
        <v>0</v>
      </c>
      <c r="AD4" s="20">
        <v>0</v>
      </c>
      <c r="AE4" s="51">
        <f t="shared" si="6"/>
        <v>0</v>
      </c>
      <c r="AF4" s="14">
        <v>0</v>
      </c>
      <c r="AG4" s="11">
        <v>0</v>
      </c>
      <c r="AH4" s="20">
        <v>0</v>
      </c>
      <c r="AI4" s="51">
        <f t="shared" si="7"/>
        <v>0</v>
      </c>
      <c r="AJ4" t="s">
        <v>31</v>
      </c>
    </row>
    <row r="5" spans="1:36" x14ac:dyDescent="0.25">
      <c r="A5" s="48"/>
      <c r="B5" s="17" cm="1">
        <f t="array" ref="B5:B7">QualNum*Qual[12]</f>
        <v>-0.2</v>
      </c>
      <c r="C5" s="18" cm="1">
        <f t="array" ref="C5:C7">SpeedNum*Speed[12]</f>
        <v>0</v>
      </c>
      <c r="D5" s="27" cm="1">
        <f t="array" ref="D5:D7">ProdNum*Prod[12]</f>
        <v>0</v>
      </c>
      <c r="E5" s="49">
        <f t="shared" si="0"/>
        <v>-0.2</v>
      </c>
      <c r="F5" s="18" cm="1">
        <f t="array" ref="F5:F7">QualNum*Qual[22]</f>
        <v>-0.2</v>
      </c>
      <c r="G5" s="18" cm="1">
        <f t="array" ref="G5:G7">SpeedNum*Speed[22]</f>
        <v>0</v>
      </c>
      <c r="H5" s="27" cm="1">
        <f t="array" ref="H5:H7">ProdNum*Prod[22]</f>
        <v>0</v>
      </c>
      <c r="I5" s="49">
        <f t="shared" si="1"/>
        <v>-0.2</v>
      </c>
      <c r="J5" s="17" cm="1">
        <f t="array" ref="J5:J7">QualNum*Qual[32]</f>
        <v>-0.2</v>
      </c>
      <c r="K5" s="18" cm="1">
        <f t="array" ref="K5:K7">SpeedNum*Speed[32]</f>
        <v>0</v>
      </c>
      <c r="L5" s="27" cm="1">
        <f t="array" ref="L5:L7">ProdNum*Prod[32]</f>
        <v>0</v>
      </c>
      <c r="M5" s="49">
        <f t="shared" si="2"/>
        <v>-0.2</v>
      </c>
      <c r="N5" s="17" cm="1">
        <f t="array" ref="N5:N7">QualNum*Qual[32]</f>
        <v>-0.2</v>
      </c>
      <c r="O5" s="18" cm="1">
        <f t="array" ref="O5:O7">SpeedNum*Speed[22]</f>
        <v>0</v>
      </c>
      <c r="P5" s="27" cm="1">
        <f t="array" ref="P5:P7">ProdNum*Prod[32]</f>
        <v>0</v>
      </c>
      <c r="Q5" s="49">
        <f t="shared" si="3"/>
        <v>-0.2</v>
      </c>
      <c r="S5" s="48"/>
      <c r="T5" s="17" cm="1">
        <f t="array" ref="T5:T7">QualNum2*Qual[12]</f>
        <v>-0.2</v>
      </c>
      <c r="U5" s="18" cm="1">
        <f t="array" ref="U5:U7">SpeedNum2*Speed[12]</f>
        <v>0.39</v>
      </c>
      <c r="V5" s="27" cm="1">
        <f t="array" ref="V5:V7">ProdNum2*Prod[12]</f>
        <v>0</v>
      </c>
      <c r="W5" s="49">
        <f t="shared" si="4"/>
        <v>0.19</v>
      </c>
      <c r="X5" s="18" cm="1">
        <f t="array" ref="X5:X7">QualNum2*Qual[22]</f>
        <v>-0.2</v>
      </c>
      <c r="Y5" s="18" cm="1">
        <f t="array" ref="Y5:Y7">SpeedNum2*Speed[22]</f>
        <v>0.58499999999999996</v>
      </c>
      <c r="Z5" s="27" cm="1">
        <f t="array" ref="Z5:Z7">ProdNum2*Prod[22]</f>
        <v>0</v>
      </c>
      <c r="AA5" s="49">
        <f t="shared" si="5"/>
        <v>0.38499999999999995</v>
      </c>
      <c r="AB5" s="17" cm="1">
        <f t="array" ref="AB5:AB7">QualNum2*Qual[32]</f>
        <v>-0.2</v>
      </c>
      <c r="AC5" s="18" cm="1">
        <f t="array" ref="AC5:AC7">SpeedNum2*Speed[32]</f>
        <v>0.97500000000000009</v>
      </c>
      <c r="AD5" s="27" cm="1">
        <f t="array" ref="AD5:AD7">ProdNum2*Prod[32]</f>
        <v>0</v>
      </c>
      <c r="AE5" s="49">
        <f t="shared" si="6"/>
        <v>0.77500000000000013</v>
      </c>
      <c r="AF5" s="17" cm="1">
        <f t="array" ref="AF5:AF7">QualNum2*Qual[32]</f>
        <v>-0.2</v>
      </c>
      <c r="AG5" s="18" cm="1">
        <f t="array" ref="AG5:AG7">SpeedNum2*Speed[22]</f>
        <v>0.58499999999999996</v>
      </c>
      <c r="AH5" s="27" cm="1">
        <f t="array" ref="AH5:AH7">ProdNum2*Prod[32]</f>
        <v>0</v>
      </c>
      <c r="AI5" s="49">
        <f t="shared" si="7"/>
        <v>0.38499999999999995</v>
      </c>
    </row>
    <row r="6" spans="1:36" x14ac:dyDescent="0.25">
      <c r="A6" s="48" t="s">
        <v>72</v>
      </c>
      <c r="B6" s="13">
        <v>5.1999999999999998E-2</v>
      </c>
      <c r="C6">
        <v>0</v>
      </c>
      <c r="D6" s="22">
        <v>0</v>
      </c>
      <c r="E6" s="50">
        <f t="shared" si="0"/>
        <v>5.1999999999999998E-2</v>
      </c>
      <c r="F6">
        <v>0.104</v>
      </c>
      <c r="G6">
        <v>0</v>
      </c>
      <c r="H6" s="22">
        <v>0</v>
      </c>
      <c r="I6" s="50">
        <f t="shared" si="1"/>
        <v>0.104</v>
      </c>
      <c r="J6" s="13">
        <v>0.128</v>
      </c>
      <c r="K6">
        <v>0</v>
      </c>
      <c r="L6" s="22">
        <v>0</v>
      </c>
      <c r="M6" s="50">
        <f t="shared" si="2"/>
        <v>0.128</v>
      </c>
      <c r="N6" s="13">
        <v>0.128</v>
      </c>
      <c r="O6">
        <v>0</v>
      </c>
      <c r="P6" s="22">
        <v>0</v>
      </c>
      <c r="Q6" s="50">
        <f t="shared" si="3"/>
        <v>0.128</v>
      </c>
      <c r="S6" s="48" t="s">
        <v>72</v>
      </c>
      <c r="T6" s="13">
        <v>5.1999999999999998E-2</v>
      </c>
      <c r="U6">
        <v>-1.4999999999999999E-2</v>
      </c>
      <c r="V6" s="22">
        <v>0</v>
      </c>
      <c r="W6" s="50">
        <f t="shared" si="4"/>
        <v>3.6999999999999998E-2</v>
      </c>
      <c r="X6">
        <v>0.104</v>
      </c>
      <c r="Y6">
        <v>-2.2499999999999999E-2</v>
      </c>
      <c r="Z6" s="22">
        <v>0</v>
      </c>
      <c r="AA6" s="50">
        <f t="shared" si="5"/>
        <v>8.1499999999999989E-2</v>
      </c>
      <c r="AB6" s="13">
        <v>0.128</v>
      </c>
      <c r="AC6">
        <v>-3.7500000000000006E-2</v>
      </c>
      <c r="AD6" s="22">
        <v>0</v>
      </c>
      <c r="AE6" s="50">
        <f t="shared" si="6"/>
        <v>9.0499999999999997E-2</v>
      </c>
      <c r="AF6" s="13">
        <v>0.128</v>
      </c>
      <c r="AG6">
        <v>-2.2499999999999999E-2</v>
      </c>
      <c r="AH6" s="22">
        <v>0</v>
      </c>
      <c r="AI6" s="50">
        <f t="shared" si="7"/>
        <v>0.10550000000000001</v>
      </c>
    </row>
    <row r="7" spans="1:36" x14ac:dyDescent="0.25">
      <c r="A7" s="48"/>
      <c r="B7" s="14">
        <v>0</v>
      </c>
      <c r="C7" s="11">
        <v>0</v>
      </c>
      <c r="D7" s="20">
        <v>0</v>
      </c>
      <c r="E7" s="51">
        <f t="shared" si="0"/>
        <v>0</v>
      </c>
      <c r="F7" s="11">
        <v>0</v>
      </c>
      <c r="G7" s="11">
        <v>0</v>
      </c>
      <c r="H7" s="20">
        <v>0</v>
      </c>
      <c r="I7" s="51">
        <f t="shared" si="1"/>
        <v>0</v>
      </c>
      <c r="J7" s="14">
        <v>0</v>
      </c>
      <c r="K7" s="11">
        <v>0</v>
      </c>
      <c r="L7" s="20">
        <v>0</v>
      </c>
      <c r="M7" s="51">
        <f t="shared" si="2"/>
        <v>0</v>
      </c>
      <c r="N7" s="14">
        <v>0</v>
      </c>
      <c r="O7" s="11">
        <v>0</v>
      </c>
      <c r="P7" s="20">
        <v>0</v>
      </c>
      <c r="Q7" s="51">
        <f t="shared" si="3"/>
        <v>0</v>
      </c>
      <c r="S7" s="48"/>
      <c r="T7" s="14">
        <v>0</v>
      </c>
      <c r="U7" s="11">
        <v>0</v>
      </c>
      <c r="V7" s="20">
        <v>0</v>
      </c>
      <c r="W7" s="51">
        <f t="shared" si="4"/>
        <v>0</v>
      </c>
      <c r="X7" s="11">
        <v>0</v>
      </c>
      <c r="Y7" s="11">
        <v>0</v>
      </c>
      <c r="Z7" s="20">
        <v>0</v>
      </c>
      <c r="AA7" s="51">
        <f t="shared" si="5"/>
        <v>0</v>
      </c>
      <c r="AB7" s="14">
        <v>0</v>
      </c>
      <c r="AC7" s="11">
        <v>0</v>
      </c>
      <c r="AD7" s="20">
        <v>0</v>
      </c>
      <c r="AE7" s="51">
        <f t="shared" si="6"/>
        <v>0</v>
      </c>
      <c r="AF7" s="14">
        <v>0</v>
      </c>
      <c r="AG7" s="11">
        <v>0</v>
      </c>
      <c r="AH7" s="20">
        <v>0</v>
      </c>
      <c r="AI7" s="51">
        <f t="shared" si="7"/>
        <v>0</v>
      </c>
    </row>
    <row r="8" spans="1:36" x14ac:dyDescent="0.25">
      <c r="A8" s="48"/>
      <c r="B8" s="17" cm="1">
        <f t="array" ref="B8:B10">QualNum*Qual[13]</f>
        <v>-0.2</v>
      </c>
      <c r="C8" s="18" cm="1">
        <f t="array" ref="C8:C10">SpeedNum*Speed[13]</f>
        <v>0</v>
      </c>
      <c r="D8" s="27" cm="1">
        <f t="array" ref="D8:D10">ProdNum*Prod[13]</f>
        <v>0</v>
      </c>
      <c r="E8" s="49">
        <f t="shared" si="0"/>
        <v>-0.2</v>
      </c>
      <c r="F8" s="18" cm="1">
        <f t="array" ref="F8:F10">QualNum*Qual[23]</f>
        <v>-0.2</v>
      </c>
      <c r="G8" s="18" cm="1">
        <f t="array" ref="G8:G10">SpeedNum*Speed[23]</f>
        <v>0</v>
      </c>
      <c r="H8" s="27" cm="1">
        <f t="array" ref="H8:H10">ProdNum*Prod[23]</f>
        <v>0</v>
      </c>
      <c r="I8" s="49">
        <f t="shared" si="1"/>
        <v>-0.2</v>
      </c>
      <c r="J8" s="17" cm="1">
        <f t="array" ref="J8:J10">QualNum*Qual[33]</f>
        <v>-0.2</v>
      </c>
      <c r="K8" s="18" cm="1">
        <f t="array" ref="K8:K10">SpeedNum*Speed[33]</f>
        <v>0</v>
      </c>
      <c r="L8" s="27" cm="1">
        <f t="array" ref="L8:L10">ProdNum*Prod[33]</f>
        <v>0</v>
      </c>
      <c r="M8" s="49">
        <f t="shared" si="2"/>
        <v>-0.2</v>
      </c>
      <c r="N8" s="17" cm="1">
        <f t="array" ref="N8:N10">QualNum*Qual[33]</f>
        <v>-0.2</v>
      </c>
      <c r="O8" s="18" cm="1">
        <f t="array" ref="O8:O10">SpeedNum*Speed[23]</f>
        <v>0</v>
      </c>
      <c r="P8" s="27" cm="1">
        <f t="array" ref="P8:P10">ProdNum*Prod[33]</f>
        <v>0</v>
      </c>
      <c r="Q8" s="49">
        <f t="shared" si="3"/>
        <v>-0.2</v>
      </c>
      <c r="S8" s="48"/>
      <c r="T8" s="17" cm="1">
        <f t="array" ref="T8:T10">QualNum2*Qual[13]</f>
        <v>-0.2</v>
      </c>
      <c r="U8" s="18" cm="1">
        <f t="array" ref="U8:U10">SpeedNum2*Speed[13]</f>
        <v>0.48</v>
      </c>
      <c r="V8" s="27" cm="1">
        <f t="array" ref="V8:V10">ProdNum2*Prod[13]</f>
        <v>0</v>
      </c>
      <c r="W8" s="49">
        <f t="shared" si="4"/>
        <v>0.27999999999999997</v>
      </c>
      <c r="X8" s="18" cm="1">
        <f t="array" ref="X8:X10">QualNum2*Qual[23]</f>
        <v>-0.2</v>
      </c>
      <c r="Y8" s="18" cm="1">
        <f t="array" ref="Y8:Y10">SpeedNum2*Speed[23]</f>
        <v>0.72</v>
      </c>
      <c r="Z8" s="27" cm="1">
        <f t="array" ref="Z8:Z10">ProdNum2*Prod[23]</f>
        <v>0</v>
      </c>
      <c r="AA8" s="49">
        <f t="shared" si="5"/>
        <v>0.52</v>
      </c>
      <c r="AB8" s="17" cm="1">
        <f t="array" ref="AB8:AB10">QualNum2*Qual[33]</f>
        <v>-0.2</v>
      </c>
      <c r="AC8" s="18" cm="1">
        <f t="array" ref="AC8:AC10">SpeedNum2*Speed[33]</f>
        <v>1.2000000000000002</v>
      </c>
      <c r="AD8" s="27" cm="1">
        <f t="array" ref="AD8:AD10">ProdNum2*Prod[33]</f>
        <v>0</v>
      </c>
      <c r="AE8" s="49">
        <f t="shared" si="6"/>
        <v>1.0000000000000002</v>
      </c>
      <c r="AF8" s="17" cm="1">
        <f t="array" ref="AF8:AF10">QualNum2*Qual[33]</f>
        <v>-0.2</v>
      </c>
      <c r="AG8" s="18" cm="1">
        <f t="array" ref="AG8:AG10">SpeedNum2*Speed[23]</f>
        <v>0.72</v>
      </c>
      <c r="AH8" s="27" cm="1">
        <f t="array" ref="AH8:AH10">ProdNum2*Prod[33]</f>
        <v>0</v>
      </c>
      <c r="AI8" s="49">
        <f t="shared" si="7"/>
        <v>0.52</v>
      </c>
    </row>
    <row r="9" spans="1:36" x14ac:dyDescent="0.25">
      <c r="A9" s="48" t="s">
        <v>73</v>
      </c>
      <c r="B9" s="13">
        <v>6.4000000000000001E-2</v>
      </c>
      <c r="C9">
        <v>0</v>
      </c>
      <c r="D9" s="22">
        <v>0</v>
      </c>
      <c r="E9" s="50">
        <f t="shared" si="0"/>
        <v>6.4000000000000001E-2</v>
      </c>
      <c r="F9">
        <v>0.128</v>
      </c>
      <c r="G9">
        <v>0</v>
      </c>
      <c r="H9" s="22">
        <v>0</v>
      </c>
      <c r="I9" s="50">
        <f t="shared" si="1"/>
        <v>0.128</v>
      </c>
      <c r="J9" s="13">
        <v>0.16</v>
      </c>
      <c r="K9">
        <v>0</v>
      </c>
      <c r="L9" s="22">
        <v>0</v>
      </c>
      <c r="M9" s="50">
        <f t="shared" si="2"/>
        <v>0.16</v>
      </c>
      <c r="N9" s="13">
        <v>0.16</v>
      </c>
      <c r="O9">
        <v>0</v>
      </c>
      <c r="P9" s="22">
        <v>0</v>
      </c>
      <c r="Q9" s="50">
        <f t="shared" si="3"/>
        <v>0.16</v>
      </c>
      <c r="S9" s="48" t="s">
        <v>73</v>
      </c>
      <c r="T9" s="13">
        <v>6.4000000000000001E-2</v>
      </c>
      <c r="U9">
        <v>-1.4999999999999999E-2</v>
      </c>
      <c r="V9" s="22">
        <v>0</v>
      </c>
      <c r="W9" s="50">
        <f t="shared" si="4"/>
        <v>4.9000000000000002E-2</v>
      </c>
      <c r="X9">
        <v>0.128</v>
      </c>
      <c r="Y9">
        <v>-2.2499999999999999E-2</v>
      </c>
      <c r="Z9" s="22">
        <v>0</v>
      </c>
      <c r="AA9" s="50">
        <f t="shared" si="5"/>
        <v>0.10550000000000001</v>
      </c>
      <c r="AB9" s="13">
        <v>0.16</v>
      </c>
      <c r="AC9">
        <v>-3.7500000000000006E-2</v>
      </c>
      <c r="AD9" s="22">
        <v>0</v>
      </c>
      <c r="AE9" s="50">
        <f t="shared" si="6"/>
        <v>0.1225</v>
      </c>
      <c r="AF9" s="13">
        <v>0.16</v>
      </c>
      <c r="AG9">
        <v>-2.2499999999999999E-2</v>
      </c>
      <c r="AH9" s="22">
        <v>0</v>
      </c>
      <c r="AI9" s="50">
        <f t="shared" si="7"/>
        <v>0.13750000000000001</v>
      </c>
    </row>
    <row r="10" spans="1:36" x14ac:dyDescent="0.25">
      <c r="A10" s="48"/>
      <c r="B10" s="14">
        <v>0</v>
      </c>
      <c r="C10" s="11">
        <v>0</v>
      </c>
      <c r="D10" s="20">
        <v>0</v>
      </c>
      <c r="E10" s="51">
        <f t="shared" si="0"/>
        <v>0</v>
      </c>
      <c r="F10" s="11">
        <v>0</v>
      </c>
      <c r="G10" s="11">
        <v>0</v>
      </c>
      <c r="H10" s="20">
        <v>0</v>
      </c>
      <c r="I10" s="51">
        <f t="shared" si="1"/>
        <v>0</v>
      </c>
      <c r="J10" s="14">
        <v>0</v>
      </c>
      <c r="K10" s="11">
        <v>0</v>
      </c>
      <c r="L10" s="20">
        <v>0</v>
      </c>
      <c r="M10" s="51">
        <f t="shared" si="2"/>
        <v>0</v>
      </c>
      <c r="N10" s="14">
        <v>0</v>
      </c>
      <c r="O10" s="11">
        <v>0</v>
      </c>
      <c r="P10" s="20">
        <v>0</v>
      </c>
      <c r="Q10" s="51">
        <f t="shared" si="3"/>
        <v>0</v>
      </c>
      <c r="S10" s="48"/>
      <c r="T10" s="14">
        <v>0</v>
      </c>
      <c r="U10" s="11">
        <v>0</v>
      </c>
      <c r="V10" s="20">
        <v>0</v>
      </c>
      <c r="W10" s="51">
        <f t="shared" si="4"/>
        <v>0</v>
      </c>
      <c r="X10" s="11">
        <v>0</v>
      </c>
      <c r="Y10" s="11">
        <v>0</v>
      </c>
      <c r="Z10" s="20">
        <v>0</v>
      </c>
      <c r="AA10" s="51">
        <f t="shared" si="5"/>
        <v>0</v>
      </c>
      <c r="AB10" s="14">
        <v>0</v>
      </c>
      <c r="AC10" s="11">
        <v>0</v>
      </c>
      <c r="AD10" s="20">
        <v>0</v>
      </c>
      <c r="AE10" s="51">
        <f t="shared" si="6"/>
        <v>0</v>
      </c>
      <c r="AF10" s="14">
        <v>0</v>
      </c>
      <c r="AG10" s="11">
        <v>0</v>
      </c>
      <c r="AH10" s="20">
        <v>0</v>
      </c>
      <c r="AI10" s="51">
        <f t="shared" si="7"/>
        <v>0</v>
      </c>
    </row>
    <row r="11" spans="1:36" x14ac:dyDescent="0.25">
      <c r="A11" s="48"/>
      <c r="B11" s="17" cm="1">
        <f t="array" ref="B11:B13">QualNum*Qual[14]</f>
        <v>-0.2</v>
      </c>
      <c r="C11" s="18" cm="1">
        <f t="array" ref="C11:C13">SpeedNum*Speed[14]</f>
        <v>0</v>
      </c>
      <c r="D11" s="27" cm="1">
        <f t="array" ref="D11:D13">ProdNum*Prod[14]</f>
        <v>0</v>
      </c>
      <c r="E11" s="49">
        <f t="shared" si="0"/>
        <v>-0.2</v>
      </c>
      <c r="F11" s="18" cm="1">
        <f t="array" ref="F11:F13">QualNum*Qual[24]</f>
        <v>-0.2</v>
      </c>
      <c r="G11" s="18" cm="1">
        <f t="array" ref="G11:G13">SpeedNum*Speed[24]</f>
        <v>0</v>
      </c>
      <c r="H11" s="27" cm="1">
        <f t="array" ref="H11:H13">ProdNum*Prod[24]</f>
        <v>0</v>
      </c>
      <c r="I11" s="49">
        <f t="shared" si="1"/>
        <v>-0.2</v>
      </c>
      <c r="J11" s="17" cm="1">
        <f t="array" ref="J11:J13">QualNum*Qual[34]</f>
        <v>-0.2</v>
      </c>
      <c r="K11" s="18" cm="1">
        <f t="array" ref="K11:K13">SpeedNum*Speed[34]</f>
        <v>0</v>
      </c>
      <c r="L11" s="27" cm="1">
        <f t="array" ref="L11:L13">ProdNum*Prod[34]</f>
        <v>0</v>
      </c>
      <c r="M11" s="49">
        <f t="shared" si="2"/>
        <v>-0.2</v>
      </c>
      <c r="N11" s="17" cm="1">
        <f t="array" ref="N11:N13">QualNum*Qual[34]</f>
        <v>-0.2</v>
      </c>
      <c r="O11" s="18" cm="1">
        <f t="array" ref="O11:O13">SpeedNum*Speed[24]</f>
        <v>0</v>
      </c>
      <c r="P11" s="27" cm="1">
        <f t="array" ref="P11:P13">ProdNum*Prod[34]</f>
        <v>0</v>
      </c>
      <c r="Q11" s="49">
        <f t="shared" si="3"/>
        <v>-0.2</v>
      </c>
      <c r="S11" s="48"/>
      <c r="T11" s="17" cm="1">
        <f t="array" ref="T11:T13">QualNum2*Qual[14]</f>
        <v>-0.2</v>
      </c>
      <c r="U11" s="18" cm="1">
        <f t="array" ref="U11:U13">SpeedNum2*Speed[14]</f>
        <v>0.57000000000000006</v>
      </c>
      <c r="V11" s="27" cm="1">
        <f t="array" ref="V11:V13">ProdNum2*Prod[14]</f>
        <v>0</v>
      </c>
      <c r="W11" s="49">
        <f t="shared" si="4"/>
        <v>0.37000000000000005</v>
      </c>
      <c r="X11" s="18" cm="1">
        <f t="array" ref="X11:X13">QualNum2*Qual[24]</f>
        <v>-0.2</v>
      </c>
      <c r="Y11" s="18" cm="1">
        <f t="array" ref="Y11:Y13">SpeedNum2*Speed[24]</f>
        <v>0.85499999999999998</v>
      </c>
      <c r="Z11" s="27" cm="1">
        <f t="array" ref="Z11:Z13">ProdNum2*Prod[24]</f>
        <v>0</v>
      </c>
      <c r="AA11" s="49">
        <f t="shared" si="5"/>
        <v>0.65500000000000003</v>
      </c>
      <c r="AB11" s="17" cm="1">
        <f t="array" ref="AB11:AB13">QualNum2*Qual[34]</f>
        <v>-0.2</v>
      </c>
      <c r="AC11" s="18" cm="1">
        <f t="array" ref="AC11:AC13">SpeedNum2*Speed[34]</f>
        <v>1.4249999999999998</v>
      </c>
      <c r="AD11" s="27" cm="1">
        <f t="array" ref="AD11:AD13">ProdNum2*Prod[34]</f>
        <v>0</v>
      </c>
      <c r="AE11" s="49">
        <f t="shared" si="6"/>
        <v>1.2249999999999999</v>
      </c>
      <c r="AF11" s="17" cm="1">
        <f t="array" ref="AF11:AF13">QualNum2*Qual[34]</f>
        <v>-0.2</v>
      </c>
      <c r="AG11" s="18" cm="1">
        <f t="array" ref="AG11:AG13">SpeedNum2*Speed[24]</f>
        <v>0.85499999999999998</v>
      </c>
      <c r="AH11" s="27" cm="1">
        <f t="array" ref="AH11:AH13">ProdNum2*Prod[34]</f>
        <v>0</v>
      </c>
      <c r="AI11" s="49">
        <f t="shared" si="7"/>
        <v>0.65500000000000003</v>
      </c>
    </row>
    <row r="12" spans="1:36" x14ac:dyDescent="0.25">
      <c r="A12" s="48" t="s">
        <v>75</v>
      </c>
      <c r="B12" s="13">
        <v>7.5999999999999998E-2</v>
      </c>
      <c r="C12">
        <v>0</v>
      </c>
      <c r="D12" s="22">
        <v>0</v>
      </c>
      <c r="E12" s="50">
        <f t="shared" si="0"/>
        <v>7.5999999999999998E-2</v>
      </c>
      <c r="F12">
        <v>0.152</v>
      </c>
      <c r="G12">
        <v>0</v>
      </c>
      <c r="H12" s="22">
        <v>0</v>
      </c>
      <c r="I12" s="50">
        <f t="shared" si="1"/>
        <v>0.152</v>
      </c>
      <c r="J12" s="13">
        <v>0.188</v>
      </c>
      <c r="K12">
        <v>0</v>
      </c>
      <c r="L12" s="22">
        <v>0</v>
      </c>
      <c r="M12" s="50">
        <f t="shared" si="2"/>
        <v>0.188</v>
      </c>
      <c r="N12" s="13">
        <v>0.188</v>
      </c>
      <c r="O12">
        <v>0</v>
      </c>
      <c r="P12" s="22">
        <v>0</v>
      </c>
      <c r="Q12" s="50">
        <f t="shared" si="3"/>
        <v>0.188</v>
      </c>
      <c r="S12" s="48" t="s">
        <v>75</v>
      </c>
      <c r="T12" s="13">
        <v>7.5999999999999998E-2</v>
      </c>
      <c r="U12">
        <v>-1.4999999999999999E-2</v>
      </c>
      <c r="V12" s="22">
        <v>0</v>
      </c>
      <c r="W12" s="50">
        <f t="shared" si="4"/>
        <v>6.0999999999999999E-2</v>
      </c>
      <c r="X12">
        <v>0.152</v>
      </c>
      <c r="Y12">
        <v>-2.2499999999999999E-2</v>
      </c>
      <c r="Z12" s="22">
        <v>0</v>
      </c>
      <c r="AA12" s="50">
        <f t="shared" si="5"/>
        <v>0.1295</v>
      </c>
      <c r="AB12" s="13">
        <v>0.188</v>
      </c>
      <c r="AC12">
        <v>-3.7500000000000006E-2</v>
      </c>
      <c r="AD12" s="22">
        <v>0</v>
      </c>
      <c r="AE12" s="50">
        <f t="shared" si="6"/>
        <v>0.15049999999999999</v>
      </c>
      <c r="AF12" s="13">
        <v>0.188</v>
      </c>
      <c r="AG12">
        <v>-2.2499999999999999E-2</v>
      </c>
      <c r="AH12" s="22">
        <v>0</v>
      </c>
      <c r="AI12" s="50">
        <f t="shared" si="7"/>
        <v>0.16550000000000001</v>
      </c>
    </row>
    <row r="13" spans="1:36" x14ac:dyDescent="0.25">
      <c r="A13" s="48"/>
      <c r="B13" s="14">
        <v>0</v>
      </c>
      <c r="C13" s="11">
        <v>0</v>
      </c>
      <c r="D13" s="20">
        <v>0</v>
      </c>
      <c r="E13" s="51">
        <f t="shared" si="0"/>
        <v>0</v>
      </c>
      <c r="F13" s="11">
        <v>0</v>
      </c>
      <c r="G13" s="11">
        <v>0</v>
      </c>
      <c r="H13" s="20">
        <v>0</v>
      </c>
      <c r="I13" s="51">
        <f t="shared" si="1"/>
        <v>0</v>
      </c>
      <c r="J13" s="14">
        <v>0</v>
      </c>
      <c r="K13" s="11">
        <v>0</v>
      </c>
      <c r="L13" s="20">
        <v>0</v>
      </c>
      <c r="M13" s="51">
        <f t="shared" si="2"/>
        <v>0</v>
      </c>
      <c r="N13" s="14">
        <v>0</v>
      </c>
      <c r="O13" s="11">
        <v>0</v>
      </c>
      <c r="P13" s="20">
        <v>0</v>
      </c>
      <c r="Q13" s="51">
        <f t="shared" si="3"/>
        <v>0</v>
      </c>
      <c r="S13" s="48"/>
      <c r="T13" s="14">
        <v>0</v>
      </c>
      <c r="U13" s="11">
        <v>0</v>
      </c>
      <c r="V13" s="20">
        <v>0</v>
      </c>
      <c r="W13" s="51">
        <f t="shared" si="4"/>
        <v>0</v>
      </c>
      <c r="X13" s="11">
        <v>0</v>
      </c>
      <c r="Y13" s="11">
        <v>0</v>
      </c>
      <c r="Z13" s="20">
        <v>0</v>
      </c>
      <c r="AA13" s="51">
        <f t="shared" si="5"/>
        <v>0</v>
      </c>
      <c r="AB13" s="14">
        <v>0</v>
      </c>
      <c r="AC13" s="11">
        <v>0</v>
      </c>
      <c r="AD13" s="20">
        <v>0</v>
      </c>
      <c r="AE13" s="51">
        <f t="shared" si="6"/>
        <v>0</v>
      </c>
      <c r="AF13" s="14">
        <v>0</v>
      </c>
      <c r="AG13" s="11">
        <v>0</v>
      </c>
      <c r="AH13" s="20">
        <v>0</v>
      </c>
      <c r="AI13" s="51">
        <f t="shared" si="7"/>
        <v>0</v>
      </c>
    </row>
    <row r="14" spans="1:36" x14ac:dyDescent="0.25">
      <c r="A14" s="48"/>
      <c r="B14" s="17" cm="1">
        <f t="array" ref="B14:B16">QualNum*Qual[15]</f>
        <v>-0.2</v>
      </c>
      <c r="C14" s="18" cm="1">
        <f t="array" ref="C14:C16">SpeedNum*Speed[15]</f>
        <v>0</v>
      </c>
      <c r="D14" s="27" cm="1">
        <f t="array" ref="D14:D16">ProdNum*Prod[15]</f>
        <v>0</v>
      </c>
      <c r="E14" s="49">
        <f t="shared" si="0"/>
        <v>-0.2</v>
      </c>
      <c r="F14" s="18" cm="1">
        <f t="array" ref="F14:F16">QualNum*Qual[25]</f>
        <v>-0.2</v>
      </c>
      <c r="G14" s="18" cm="1">
        <f t="array" ref="G14:G16">SpeedNum*Speed[25]</f>
        <v>0</v>
      </c>
      <c r="H14" s="27" cm="1">
        <f t="array" ref="H14:H16">ProdNum*Prod[25]</f>
        <v>0</v>
      </c>
      <c r="I14" s="49">
        <f t="shared" si="1"/>
        <v>-0.2</v>
      </c>
      <c r="J14" s="17" cm="1">
        <f t="array" ref="J14:J16">QualNum*Qual[35]</f>
        <v>-0.2</v>
      </c>
      <c r="K14" s="18" cm="1">
        <f t="array" ref="K14:K16">SpeedNum*Speed[35]</f>
        <v>0</v>
      </c>
      <c r="L14" s="27" cm="1">
        <f t="array" ref="L14:L16">ProdNum*Prod[35]</f>
        <v>0</v>
      </c>
      <c r="M14" s="49">
        <f t="shared" si="2"/>
        <v>-0.2</v>
      </c>
      <c r="N14" s="17" cm="1">
        <f t="array" ref="N14:N16">QualNum*Qual[35]</f>
        <v>-0.2</v>
      </c>
      <c r="O14" s="18" cm="1">
        <f t="array" ref="O14:O16">SpeedNum*Speed[25]</f>
        <v>0</v>
      </c>
      <c r="P14" s="27" cm="1">
        <f t="array" ref="P14:P16">ProdNum*Prod[35]</f>
        <v>0</v>
      </c>
      <c r="Q14" s="49">
        <f t="shared" si="3"/>
        <v>-0.2</v>
      </c>
      <c r="S14" s="48"/>
      <c r="T14" s="17" cm="1">
        <f t="array" ref="T14:T16">QualNum2*Qual[15]</f>
        <v>-0.2</v>
      </c>
      <c r="U14" s="18" cm="1">
        <f t="array" ref="U14:U16">SpeedNum2*Speed[15]</f>
        <v>0.75</v>
      </c>
      <c r="V14" s="27" cm="1">
        <f t="array" ref="V14:V16">ProdNum2*Prod[15]</f>
        <v>0</v>
      </c>
      <c r="W14" s="49">
        <f t="shared" si="4"/>
        <v>0.55000000000000004</v>
      </c>
      <c r="X14" s="18" cm="1">
        <f t="array" ref="X14:X16">QualNum2*Qual[25]</f>
        <v>-0.2</v>
      </c>
      <c r="Y14" s="18" cm="1">
        <f t="array" ref="Y14:Y16">SpeedNum2*Speed[25]</f>
        <v>1.125</v>
      </c>
      <c r="Z14" s="27" cm="1">
        <f t="array" ref="Z14:Z16">ProdNum2*Prod[25]</f>
        <v>0</v>
      </c>
      <c r="AA14" s="49">
        <f t="shared" si="5"/>
        <v>0.92500000000000004</v>
      </c>
      <c r="AB14" s="17" cm="1">
        <f t="array" ref="AB14:AB16">QualNum2*Qual[35]</f>
        <v>-0.2</v>
      </c>
      <c r="AC14" s="18" cm="1">
        <f t="array" ref="AC14:AC16">SpeedNum2*Speed[35]</f>
        <v>1.875</v>
      </c>
      <c r="AD14" s="27" cm="1">
        <f t="array" ref="AD14:AD16">ProdNum2*Prod[35]</f>
        <v>0</v>
      </c>
      <c r="AE14" s="49">
        <f t="shared" si="6"/>
        <v>1.675</v>
      </c>
      <c r="AF14" s="17" cm="1">
        <f t="array" ref="AF14:AF16">QualNum2*Qual[35]</f>
        <v>-0.2</v>
      </c>
      <c r="AG14" s="18" cm="1">
        <f t="array" ref="AG14:AG16">SpeedNum2*Speed[25]</f>
        <v>1.125</v>
      </c>
      <c r="AH14" s="27" cm="1">
        <f t="array" ref="AH14:AH16">ProdNum2*Prod[35]</f>
        <v>0</v>
      </c>
      <c r="AI14" s="49">
        <f t="shared" si="7"/>
        <v>0.92500000000000004</v>
      </c>
    </row>
    <row r="15" spans="1:36" x14ac:dyDescent="0.25">
      <c r="A15" s="48" t="s">
        <v>76</v>
      </c>
      <c r="B15" s="13">
        <v>0.1</v>
      </c>
      <c r="C15">
        <v>0</v>
      </c>
      <c r="D15" s="22">
        <v>0</v>
      </c>
      <c r="E15" s="50">
        <f t="shared" si="0"/>
        <v>0.1</v>
      </c>
      <c r="F15">
        <v>0.2</v>
      </c>
      <c r="G15">
        <v>0</v>
      </c>
      <c r="H15" s="22">
        <v>0</v>
      </c>
      <c r="I15" s="50">
        <f t="shared" si="1"/>
        <v>0.2</v>
      </c>
      <c r="J15" s="13">
        <v>0.248</v>
      </c>
      <c r="K15">
        <v>0</v>
      </c>
      <c r="L15" s="22">
        <v>0</v>
      </c>
      <c r="M15" s="50">
        <f t="shared" si="2"/>
        <v>0.248</v>
      </c>
      <c r="N15" s="13">
        <v>0.248</v>
      </c>
      <c r="O15">
        <v>0</v>
      </c>
      <c r="P15" s="22">
        <v>0</v>
      </c>
      <c r="Q15" s="50">
        <f t="shared" si="3"/>
        <v>0.248</v>
      </c>
      <c r="S15" s="48" t="s">
        <v>76</v>
      </c>
      <c r="T15" s="13">
        <v>0.1</v>
      </c>
      <c r="U15">
        <v>-1.4999999999999999E-2</v>
      </c>
      <c r="V15" s="22">
        <v>0</v>
      </c>
      <c r="W15" s="50">
        <f t="shared" si="4"/>
        <v>8.5000000000000006E-2</v>
      </c>
      <c r="X15">
        <v>0.2</v>
      </c>
      <c r="Y15">
        <v>-2.2499999999999999E-2</v>
      </c>
      <c r="Z15" s="22">
        <v>0</v>
      </c>
      <c r="AA15" s="50">
        <f t="shared" si="5"/>
        <v>0.17750000000000002</v>
      </c>
      <c r="AB15" s="13">
        <v>0.248</v>
      </c>
      <c r="AC15">
        <v>-3.7500000000000006E-2</v>
      </c>
      <c r="AD15" s="22">
        <v>0</v>
      </c>
      <c r="AE15" s="50">
        <f t="shared" si="6"/>
        <v>0.21049999999999999</v>
      </c>
      <c r="AF15" s="13">
        <v>0.248</v>
      </c>
      <c r="AG15">
        <v>-2.2499999999999999E-2</v>
      </c>
      <c r="AH15" s="22">
        <v>0</v>
      </c>
      <c r="AI15" s="50">
        <f t="shared" si="7"/>
        <v>0.22550000000000001</v>
      </c>
    </row>
    <row r="16" spans="1:36" x14ac:dyDescent="0.25">
      <c r="B16" s="14">
        <v>0</v>
      </c>
      <c r="C16" s="11">
        <v>0</v>
      </c>
      <c r="D16" s="20">
        <v>0</v>
      </c>
      <c r="E16" s="51">
        <f t="shared" si="0"/>
        <v>0</v>
      </c>
      <c r="F16" s="11">
        <v>0</v>
      </c>
      <c r="G16" s="11">
        <v>0</v>
      </c>
      <c r="H16" s="20">
        <v>0</v>
      </c>
      <c r="I16" s="51">
        <f t="shared" si="1"/>
        <v>0</v>
      </c>
      <c r="J16" s="14">
        <v>0</v>
      </c>
      <c r="K16" s="11">
        <v>0</v>
      </c>
      <c r="L16" s="20">
        <v>0</v>
      </c>
      <c r="M16" s="51">
        <f t="shared" si="2"/>
        <v>0</v>
      </c>
      <c r="N16" s="14">
        <v>0</v>
      </c>
      <c r="O16" s="11">
        <v>0</v>
      </c>
      <c r="P16" s="20">
        <v>0</v>
      </c>
      <c r="Q16" s="51">
        <f t="shared" si="3"/>
        <v>0</v>
      </c>
      <c r="T16" s="14">
        <v>0</v>
      </c>
      <c r="U16" s="11">
        <v>0</v>
      </c>
      <c r="V16" s="20">
        <v>0</v>
      </c>
      <c r="W16" s="51">
        <f t="shared" si="4"/>
        <v>0</v>
      </c>
      <c r="X16" s="11">
        <v>0</v>
      </c>
      <c r="Y16" s="11">
        <v>0</v>
      </c>
      <c r="Z16" s="20">
        <v>0</v>
      </c>
      <c r="AA16" s="51">
        <f t="shared" si="5"/>
        <v>0</v>
      </c>
      <c r="AB16" s="14">
        <v>0</v>
      </c>
      <c r="AC16" s="11">
        <v>0</v>
      </c>
      <c r="AD16" s="20">
        <v>0</v>
      </c>
      <c r="AE16" s="51">
        <f t="shared" si="6"/>
        <v>0</v>
      </c>
      <c r="AF16" s="14">
        <v>0</v>
      </c>
      <c r="AG16" s="11">
        <v>0</v>
      </c>
      <c r="AH16" s="20">
        <v>0</v>
      </c>
      <c r="AI16" s="51">
        <f t="shared" si="7"/>
        <v>0</v>
      </c>
    </row>
    <row r="18" spans="1:35" x14ac:dyDescent="0.25">
      <c r="A18" t="s">
        <v>79</v>
      </c>
      <c r="B18" s="17" t="s">
        <v>88</v>
      </c>
      <c r="C18" s="18" t="s">
        <v>89</v>
      </c>
      <c r="D18" s="18" t="s">
        <v>90</v>
      </c>
      <c r="E18" s="19" t="s">
        <v>91</v>
      </c>
      <c r="S18" t="s">
        <v>79</v>
      </c>
      <c r="T18">
        <v>1</v>
      </c>
      <c r="U18">
        <v>2</v>
      </c>
      <c r="V18">
        <v>3</v>
      </c>
      <c r="W18">
        <v>4</v>
      </c>
    </row>
    <row r="19" spans="1:35" x14ac:dyDescent="0.25">
      <c r="A19" t="s">
        <v>85</v>
      </c>
      <c r="B19" s="52">
        <f>E2</f>
        <v>-0.2</v>
      </c>
      <c r="C19" s="53">
        <f>I2</f>
        <v>-0.2</v>
      </c>
      <c r="D19" s="53">
        <f>M2</f>
        <v>-0.2</v>
      </c>
      <c r="E19" s="54">
        <f>Q2</f>
        <v>-0.2</v>
      </c>
      <c r="T19" s="80">
        <f>W2</f>
        <v>0.10000000000000003</v>
      </c>
      <c r="U19" s="26">
        <f>AA2</f>
        <v>0.24999999999999994</v>
      </c>
      <c r="V19" s="26">
        <f>AE2</f>
        <v>0.55000000000000004</v>
      </c>
      <c r="W19" s="27">
        <f>AI2</f>
        <v>0.24999999999999994</v>
      </c>
      <c r="Y19" s="12"/>
      <c r="Z19" s="12" t="s">
        <v>68</v>
      </c>
      <c r="AA19" s="12" t="s">
        <v>69</v>
      </c>
      <c r="AB19" s="12" t="s">
        <v>70</v>
      </c>
      <c r="AC19" s="12" t="s">
        <v>74</v>
      </c>
      <c r="AE19" s="12"/>
      <c r="AF19" s="12" t="s">
        <v>68</v>
      </c>
      <c r="AG19" s="12" t="s">
        <v>69</v>
      </c>
      <c r="AH19" s="12" t="s">
        <v>70</v>
      </c>
      <c r="AI19" s="12" t="s">
        <v>74</v>
      </c>
    </row>
    <row r="20" spans="1:35" x14ac:dyDescent="0.25">
      <c r="A20" t="s">
        <v>79</v>
      </c>
      <c r="B20" s="13" t="s">
        <v>88</v>
      </c>
      <c r="C20" t="s">
        <v>89</v>
      </c>
      <c r="D20" t="s">
        <v>90</v>
      </c>
      <c r="E20" s="22" t="s">
        <v>91</v>
      </c>
      <c r="G20" s="12"/>
      <c r="H20" s="21" t="s">
        <v>68</v>
      </c>
      <c r="I20" s="21" t="s">
        <v>69</v>
      </c>
      <c r="J20" s="21" t="s">
        <v>70</v>
      </c>
      <c r="K20" s="12" t="s">
        <v>74</v>
      </c>
      <c r="S20" t="s">
        <v>54</v>
      </c>
      <c r="T20" s="75">
        <f t="shared" ref="T20:T33" si="8">W3</f>
        <v>2.5000000000000001E-2</v>
      </c>
      <c r="U20" s="1">
        <f t="shared" ref="U20:U33" si="9">AA3</f>
        <v>5.7500000000000002E-2</v>
      </c>
      <c r="V20" s="1">
        <f t="shared" ref="V20:V33" si="10">AE3</f>
        <v>6.25E-2</v>
      </c>
      <c r="W20" s="76">
        <f t="shared" ref="W20:W33" si="11">AI3</f>
        <v>7.7500000000000013E-2</v>
      </c>
      <c r="Y20" s="12" t="s">
        <v>71</v>
      </c>
      <c r="Z20" s="70">
        <f>100*(1+T19)*(1+T21)*T20</f>
        <v>2.7500000000000004</v>
      </c>
      <c r="AA20" s="70">
        <f t="shared" ref="AA20:AC20" si="12">100*(1+U19)*(1+U21)*U20</f>
        <v>7.1875</v>
      </c>
      <c r="AB20" s="70">
        <f t="shared" si="12"/>
        <v>9.6875</v>
      </c>
      <c r="AC20" s="70">
        <f t="shared" si="12"/>
        <v>9.6875000000000018</v>
      </c>
      <c r="AE20" s="12" t="s">
        <v>71</v>
      </c>
      <c r="AF20" s="70">
        <f>Z20</f>
        <v>2.7500000000000004</v>
      </c>
      <c r="AG20" s="70">
        <f t="shared" ref="AG20:AI20" si="13">AA20</f>
        <v>7.1875</v>
      </c>
      <c r="AH20" s="70">
        <f t="shared" si="13"/>
        <v>9.6875</v>
      </c>
      <c r="AI20" s="70">
        <f t="shared" si="13"/>
        <v>9.6875000000000018</v>
      </c>
    </row>
    <row r="21" spans="1:35" x14ac:dyDescent="0.25">
      <c r="A21" t="s">
        <v>86</v>
      </c>
      <c r="B21" s="55">
        <f>E3</f>
        <v>0.04</v>
      </c>
      <c r="C21" s="56">
        <f>I3</f>
        <v>0.08</v>
      </c>
      <c r="D21" s="56">
        <f>M3</f>
        <v>0.1</v>
      </c>
      <c r="E21" s="57">
        <f>Q3</f>
        <v>0.1</v>
      </c>
      <c r="G21" s="12" t="s">
        <v>71</v>
      </c>
      <c r="H21" s="70" cm="1">
        <f t="array" ref="H21">100*(1+SpeedN[1])*(1+ProdN[1])*QualN[1]</f>
        <v>3.2</v>
      </c>
      <c r="I21" s="70" cm="1">
        <f t="array" ref="I21">100*(1+SpeedN[2])*(1+ProdN[2])*QualN[2]</f>
        <v>6.4</v>
      </c>
      <c r="J21" s="70" cm="1">
        <f t="array" ref="J21">100*(1+SpeedN[3])*(1+ProdN[3])*QualN[3]</f>
        <v>8</v>
      </c>
      <c r="K21" s="64" cm="1">
        <f t="array" ref="K21">100*(1+SpeedN[4])*(1+ProdN[4])*QualN[4]</f>
        <v>8</v>
      </c>
      <c r="T21" s="77">
        <f t="shared" si="8"/>
        <v>0</v>
      </c>
      <c r="U21" s="78">
        <f t="shared" si="9"/>
        <v>0</v>
      </c>
      <c r="V21" s="78">
        <f t="shared" si="10"/>
        <v>0</v>
      </c>
      <c r="W21" s="79">
        <f t="shared" si="11"/>
        <v>0</v>
      </c>
      <c r="AE21" s="12" t="s">
        <v>72</v>
      </c>
      <c r="AF21" s="71">
        <f>Z22</f>
        <v>4.4029999999999996</v>
      </c>
      <c r="AG21" s="71">
        <f t="shared" ref="AG21:AI21" si="14">AA22</f>
        <v>11.287749999999999</v>
      </c>
      <c r="AH21" s="71">
        <f t="shared" si="14"/>
        <v>16.063749999999999</v>
      </c>
      <c r="AI21" s="71">
        <f t="shared" si="14"/>
        <v>14.611750000000001</v>
      </c>
    </row>
    <row r="22" spans="1:35" x14ac:dyDescent="0.25">
      <c r="A22" t="s">
        <v>79</v>
      </c>
      <c r="B22" s="13" t="s">
        <v>88</v>
      </c>
      <c r="C22" t="s">
        <v>89</v>
      </c>
      <c r="D22" t="s">
        <v>90</v>
      </c>
      <c r="E22" s="22" t="s">
        <v>91</v>
      </c>
      <c r="G22" s="12" t="s">
        <v>72</v>
      </c>
      <c r="H22" s="71" cm="1">
        <f t="array" ref="H22">100*(1+SpeedU[1])*(1+ProdU[1])*QualU[1]</f>
        <v>4.16</v>
      </c>
      <c r="I22" s="71" cm="1">
        <f t="array" ref="I22">100*(1+SpeedU[2])*(1+ProdU[2])*QualU[2]</f>
        <v>8.32</v>
      </c>
      <c r="J22" s="71" cm="1">
        <f t="array" ref="J22">100*(1+SpeedU[3])*(1+ProdU[3])*QualU[3]</f>
        <v>10.24</v>
      </c>
      <c r="K22" s="65" cm="1">
        <f t="array" ref="K22">100*(1+SpeedU[4])*(1+ProdU[4])*QualU[4]</f>
        <v>10.24</v>
      </c>
      <c r="T22" s="80">
        <f t="shared" si="8"/>
        <v>0.19</v>
      </c>
      <c r="U22" s="26">
        <f t="shared" si="9"/>
        <v>0.38499999999999995</v>
      </c>
      <c r="V22" s="26">
        <f t="shared" si="10"/>
        <v>0.77500000000000013</v>
      </c>
      <c r="W22" s="27">
        <f t="shared" si="11"/>
        <v>0.38499999999999995</v>
      </c>
      <c r="Y22" s="12" t="s">
        <v>72</v>
      </c>
      <c r="Z22" s="71">
        <f>100*(1+T22)*(1+T24)*T23</f>
        <v>4.4029999999999996</v>
      </c>
      <c r="AA22" s="71">
        <f t="shared" ref="AA22:AC22" si="15">100*(1+U22)*(1+U24)*U23</f>
        <v>11.287749999999999</v>
      </c>
      <c r="AB22" s="71">
        <f t="shared" si="15"/>
        <v>16.063749999999999</v>
      </c>
      <c r="AC22" s="71">
        <f t="shared" si="15"/>
        <v>14.611750000000001</v>
      </c>
      <c r="AE22" s="12" t="s">
        <v>73</v>
      </c>
      <c r="AF22" s="72">
        <f>Z25</f>
        <v>6.2720000000000002</v>
      </c>
      <c r="AG22" s="72">
        <f t="shared" ref="AG22:AI22" si="16">AA25</f>
        <v>16.036000000000001</v>
      </c>
      <c r="AH22" s="72">
        <f t="shared" si="16"/>
        <v>24.5</v>
      </c>
      <c r="AI22" s="72">
        <f t="shared" si="16"/>
        <v>20.900000000000002</v>
      </c>
    </row>
    <row r="23" spans="1:35" x14ac:dyDescent="0.25">
      <c r="A23" t="s">
        <v>87</v>
      </c>
      <c r="B23" s="58">
        <f>E4</f>
        <v>0</v>
      </c>
      <c r="C23" s="59">
        <f>I4</f>
        <v>0</v>
      </c>
      <c r="D23" s="59">
        <f>M4</f>
        <v>0</v>
      </c>
      <c r="E23" s="60">
        <f>Q4</f>
        <v>0</v>
      </c>
      <c r="G23" s="12" t="s">
        <v>73</v>
      </c>
      <c r="H23" s="72" cm="1">
        <f t="array" ref="H23">100*(1+SpeedR[1])*(1+ProdR[1])*QualR[1]</f>
        <v>5.12</v>
      </c>
      <c r="I23" s="72" cm="1">
        <f t="array" ref="I23">100*(1+SpeedR[2])*(1+ProdR[2])*QualR[2]</f>
        <v>10.24</v>
      </c>
      <c r="J23" s="72" cm="1">
        <f t="array" ref="J23">100*(1+SpeedR[3])*(1+ProdR[3])*QualR[3]</f>
        <v>12.8</v>
      </c>
      <c r="K23" s="66" cm="1">
        <f t="array" ref="K23">100*(1+SpeedR[4])*(1+ProdR[4])*QualR[4]</f>
        <v>12.8</v>
      </c>
      <c r="S23" t="s">
        <v>57</v>
      </c>
      <c r="T23" s="75">
        <f t="shared" si="8"/>
        <v>3.6999999999999998E-2</v>
      </c>
      <c r="U23" s="1">
        <f t="shared" si="9"/>
        <v>8.1499999999999989E-2</v>
      </c>
      <c r="V23" s="1">
        <f t="shared" si="10"/>
        <v>9.0499999999999997E-2</v>
      </c>
      <c r="W23" s="76">
        <f t="shared" si="11"/>
        <v>0.10550000000000001</v>
      </c>
      <c r="AE23" s="12" t="s">
        <v>75</v>
      </c>
      <c r="AF23" s="73">
        <f>Z28</f>
        <v>8.3569999999999993</v>
      </c>
      <c r="AG23" s="73">
        <f t="shared" ref="AG23:AI23" si="17">AA28</f>
        <v>21.43225</v>
      </c>
      <c r="AH23" s="73">
        <f t="shared" si="17"/>
        <v>33.486249999999991</v>
      </c>
      <c r="AI23" s="73">
        <f t="shared" si="17"/>
        <v>27.390250000000002</v>
      </c>
    </row>
    <row r="24" spans="1:35" x14ac:dyDescent="0.25">
      <c r="B24" s="13" t="s">
        <v>88</v>
      </c>
      <c r="C24" t="s">
        <v>89</v>
      </c>
      <c r="D24" t="s">
        <v>90</v>
      </c>
      <c r="E24" s="22" t="s">
        <v>91</v>
      </c>
      <c r="G24" s="12" t="s">
        <v>75</v>
      </c>
      <c r="H24" s="73" cm="1">
        <f t="array" ref="H24">100*(1+SpeedE[1])*(1+ProdE[1])*QualE[1]</f>
        <v>6.08</v>
      </c>
      <c r="I24" s="73" cm="1">
        <f t="array" ref="I24">100*(1+SpeedE[2])*(1+ProdE[2])*QualE[2]</f>
        <v>12.16</v>
      </c>
      <c r="J24" s="73" cm="1">
        <f t="array" ref="J24">100*(1+SpeedE[3])*(1+ProdE[3])*QualE[3]</f>
        <v>15.04</v>
      </c>
      <c r="K24" s="67" cm="1">
        <f t="array" ref="K24">100*(1+SpeedE[4])*(1+ProdE[4])*QualE[4]</f>
        <v>15.04</v>
      </c>
      <c r="T24" s="77">
        <f t="shared" si="8"/>
        <v>0</v>
      </c>
      <c r="U24" s="78">
        <f t="shared" si="9"/>
        <v>0</v>
      </c>
      <c r="V24" s="78">
        <f t="shared" si="10"/>
        <v>0</v>
      </c>
      <c r="W24" s="79">
        <f t="shared" si="11"/>
        <v>0</v>
      </c>
      <c r="AE24" s="12" t="s">
        <v>76</v>
      </c>
      <c r="AF24" s="74">
        <f>Z31</f>
        <v>13.175000000000001</v>
      </c>
      <c r="AG24" s="74">
        <f t="shared" ref="AG24:AI24" si="18">AA31</f>
        <v>34.168750000000003</v>
      </c>
      <c r="AH24" s="74">
        <f t="shared" si="18"/>
        <v>56.308749999999996</v>
      </c>
      <c r="AI24" s="74">
        <f t="shared" si="18"/>
        <v>43.408749999999998</v>
      </c>
    </row>
    <row r="25" spans="1:35" x14ac:dyDescent="0.25">
      <c r="B25" s="52">
        <f>E5</f>
        <v>-0.2</v>
      </c>
      <c r="C25" s="53">
        <f>I5</f>
        <v>-0.2</v>
      </c>
      <c r="D25" s="53">
        <f>M5</f>
        <v>-0.2</v>
      </c>
      <c r="E25" s="54">
        <f>Q5</f>
        <v>-0.2</v>
      </c>
      <c r="G25" s="12" t="s">
        <v>76</v>
      </c>
      <c r="H25" s="74" cm="1">
        <f t="array" ref="H25">100*(1+SpeedL[1])*(1+ProdL[1])*QualL[1]</f>
        <v>8</v>
      </c>
      <c r="I25" s="74" cm="1">
        <f t="array" ref="I25">100*(1+SpeedL[2])*(1+ProdL[2])*QualL[2]</f>
        <v>16</v>
      </c>
      <c r="J25" s="74" cm="1">
        <f t="array" ref="J25">100*(1+SpeedL[3])*(1+ProdL[3])*QualL[3]</f>
        <v>19.84</v>
      </c>
      <c r="K25" s="68" cm="1">
        <f t="array" ref="K25">100*(1+SpeedL[4])*(1+ProdL[4])*QualL[4]</f>
        <v>19.84</v>
      </c>
      <c r="T25" s="80">
        <f t="shared" si="8"/>
        <v>0.27999999999999997</v>
      </c>
      <c r="U25" s="26">
        <f t="shared" si="9"/>
        <v>0.52</v>
      </c>
      <c r="V25" s="26">
        <f t="shared" si="10"/>
        <v>1.0000000000000002</v>
      </c>
      <c r="W25" s="27">
        <f t="shared" si="11"/>
        <v>0.52</v>
      </c>
      <c r="Y25" s="12" t="s">
        <v>73</v>
      </c>
      <c r="Z25" s="72">
        <f>100*(1+T25)*(1+T27)*T26</f>
        <v>6.2720000000000002</v>
      </c>
      <c r="AA25" s="72">
        <f t="shared" ref="AA25:AC25" si="19">100*(1+U25)*(1+U27)*U26</f>
        <v>16.036000000000001</v>
      </c>
      <c r="AB25" s="72">
        <f t="shared" si="19"/>
        <v>24.5</v>
      </c>
      <c r="AC25" s="72">
        <f t="shared" si="19"/>
        <v>20.900000000000002</v>
      </c>
    </row>
    <row r="26" spans="1:35" x14ac:dyDescent="0.25">
      <c r="A26" t="s">
        <v>57</v>
      </c>
      <c r="B26" s="13" t="s">
        <v>88</v>
      </c>
      <c r="C26" t="s">
        <v>89</v>
      </c>
      <c r="D26" t="s">
        <v>90</v>
      </c>
      <c r="E26" s="22" t="s">
        <v>91</v>
      </c>
      <c r="S26" t="s">
        <v>60</v>
      </c>
      <c r="T26" s="75">
        <f t="shared" si="8"/>
        <v>4.9000000000000002E-2</v>
      </c>
      <c r="U26" s="1">
        <f t="shared" si="9"/>
        <v>0.10550000000000001</v>
      </c>
      <c r="V26" s="1">
        <f t="shared" si="10"/>
        <v>0.1225</v>
      </c>
      <c r="W26" s="76">
        <f t="shared" si="11"/>
        <v>0.13750000000000001</v>
      </c>
    </row>
    <row r="27" spans="1:35" x14ac:dyDescent="0.25">
      <c r="B27" s="55">
        <f>E6</f>
        <v>5.1999999999999998E-2</v>
      </c>
      <c r="C27" s="56">
        <f>I6</f>
        <v>0.104</v>
      </c>
      <c r="D27" s="56">
        <f>M6</f>
        <v>0.128</v>
      </c>
      <c r="E27" s="57">
        <f>Q6</f>
        <v>0.128</v>
      </c>
      <c r="T27" s="77">
        <f t="shared" si="8"/>
        <v>0</v>
      </c>
      <c r="U27" s="78">
        <f t="shared" si="9"/>
        <v>0</v>
      </c>
      <c r="V27" s="78">
        <f t="shared" si="10"/>
        <v>0</v>
      </c>
      <c r="W27" s="79">
        <f t="shared" si="11"/>
        <v>0</v>
      </c>
    </row>
    <row r="28" spans="1:35" x14ac:dyDescent="0.25">
      <c r="B28" s="13" t="s">
        <v>88</v>
      </c>
      <c r="C28" t="s">
        <v>89</v>
      </c>
      <c r="D28" t="s">
        <v>90</v>
      </c>
      <c r="E28" s="22" t="s">
        <v>91</v>
      </c>
      <c r="T28" s="80">
        <f t="shared" si="8"/>
        <v>0.37000000000000005</v>
      </c>
      <c r="U28" s="26">
        <f t="shared" si="9"/>
        <v>0.65500000000000003</v>
      </c>
      <c r="V28" s="26">
        <f t="shared" si="10"/>
        <v>1.2249999999999999</v>
      </c>
      <c r="W28" s="27">
        <f t="shared" si="11"/>
        <v>0.65500000000000003</v>
      </c>
      <c r="Y28" s="12" t="s">
        <v>75</v>
      </c>
      <c r="Z28" s="73">
        <f>100*(1+T28)*(1+T30)*T29</f>
        <v>8.3569999999999993</v>
      </c>
      <c r="AA28" s="73">
        <f t="shared" ref="AA28:AC28" si="20">100*(1+U28)*(1+U30)*U29</f>
        <v>21.43225</v>
      </c>
      <c r="AB28" s="73">
        <f t="shared" si="20"/>
        <v>33.486249999999991</v>
      </c>
      <c r="AC28" s="73">
        <f t="shared" si="20"/>
        <v>27.390250000000002</v>
      </c>
    </row>
    <row r="29" spans="1:35" x14ac:dyDescent="0.25">
      <c r="B29" s="61">
        <f>E7</f>
        <v>0</v>
      </c>
      <c r="C29" s="62">
        <f>I7</f>
        <v>0</v>
      </c>
      <c r="D29" s="62">
        <f>M7</f>
        <v>0</v>
      </c>
      <c r="E29" s="63">
        <f>Q7</f>
        <v>0</v>
      </c>
      <c r="G29" t="s">
        <v>96</v>
      </c>
      <c r="S29" t="s">
        <v>94</v>
      </c>
      <c r="T29" s="75">
        <f t="shared" si="8"/>
        <v>6.0999999999999999E-2</v>
      </c>
      <c r="U29" s="1">
        <f t="shared" si="9"/>
        <v>0.1295</v>
      </c>
      <c r="V29" s="1">
        <f t="shared" si="10"/>
        <v>0.15049999999999999</v>
      </c>
      <c r="W29" s="76">
        <f t="shared" si="11"/>
        <v>0.16550000000000001</v>
      </c>
    </row>
    <row r="30" spans="1:35" x14ac:dyDescent="0.25">
      <c r="B30" s="17" t="s">
        <v>88</v>
      </c>
      <c r="C30" s="18" t="s">
        <v>89</v>
      </c>
      <c r="D30" s="18" t="s">
        <v>90</v>
      </c>
      <c r="E30" s="19" t="s">
        <v>91</v>
      </c>
      <c r="T30" s="77">
        <f t="shared" si="8"/>
        <v>0</v>
      </c>
      <c r="U30" s="78">
        <f t="shared" si="9"/>
        <v>0</v>
      </c>
      <c r="V30" s="78">
        <f t="shared" si="10"/>
        <v>0</v>
      </c>
      <c r="W30" s="79">
        <f t="shared" si="11"/>
        <v>0</v>
      </c>
    </row>
    <row r="31" spans="1:35" x14ac:dyDescent="0.25">
      <c r="B31" s="52">
        <f>E8</f>
        <v>-0.2</v>
      </c>
      <c r="C31" s="53">
        <f>I8</f>
        <v>-0.2</v>
      </c>
      <c r="D31" s="53">
        <f>M8</f>
        <v>-0.2</v>
      </c>
      <c r="E31" s="54">
        <f>Q8</f>
        <v>-0.2</v>
      </c>
      <c r="T31" s="80">
        <f t="shared" si="8"/>
        <v>0.55000000000000004</v>
      </c>
      <c r="U31" s="26">
        <f t="shared" si="9"/>
        <v>0.92500000000000004</v>
      </c>
      <c r="V31" s="26">
        <f t="shared" si="10"/>
        <v>1.675</v>
      </c>
      <c r="W31" s="27">
        <f t="shared" si="11"/>
        <v>0.92500000000000004</v>
      </c>
      <c r="Y31" s="12" t="s">
        <v>76</v>
      </c>
      <c r="Z31" s="81">
        <f>100*(1+T31)*(1+T33)*T32</f>
        <v>13.175000000000001</v>
      </c>
      <c r="AA31" s="81">
        <f t="shared" ref="AA31:AC31" si="21">100*(1+U31)*(1+U33)*U32</f>
        <v>34.168750000000003</v>
      </c>
      <c r="AB31" s="81">
        <f t="shared" si="21"/>
        <v>56.308749999999996</v>
      </c>
      <c r="AC31" s="81">
        <f t="shared" si="21"/>
        <v>43.408749999999998</v>
      </c>
    </row>
    <row r="32" spans="1:35" x14ac:dyDescent="0.25">
      <c r="A32" t="s">
        <v>73</v>
      </c>
      <c r="B32" s="13" t="s">
        <v>88</v>
      </c>
      <c r="C32" t="s">
        <v>89</v>
      </c>
      <c r="D32" t="s">
        <v>90</v>
      </c>
      <c r="E32" s="22" t="s">
        <v>91</v>
      </c>
      <c r="S32" t="s">
        <v>95</v>
      </c>
      <c r="T32" s="75">
        <f t="shared" si="8"/>
        <v>8.5000000000000006E-2</v>
      </c>
      <c r="U32" s="1">
        <f t="shared" si="9"/>
        <v>0.17750000000000002</v>
      </c>
      <c r="V32" s="1">
        <f t="shared" si="10"/>
        <v>0.21049999999999999</v>
      </c>
      <c r="W32" s="76">
        <f t="shared" si="11"/>
        <v>0.22550000000000001</v>
      </c>
    </row>
    <row r="33" spans="1:25" x14ac:dyDescent="0.25">
      <c r="B33" s="55">
        <f>E9</f>
        <v>6.4000000000000001E-2</v>
      </c>
      <c r="C33" s="56">
        <f>I9</f>
        <v>0.128</v>
      </c>
      <c r="D33" s="56">
        <f>M9</f>
        <v>0.16</v>
      </c>
      <c r="E33" s="57">
        <f>Q9</f>
        <v>0.16</v>
      </c>
      <c r="T33" s="77">
        <f t="shared" si="8"/>
        <v>0</v>
      </c>
      <c r="U33" s="78">
        <f t="shared" si="9"/>
        <v>0</v>
      </c>
      <c r="V33" s="78">
        <f t="shared" si="10"/>
        <v>0</v>
      </c>
      <c r="W33" s="79">
        <f t="shared" si="11"/>
        <v>0</v>
      </c>
      <c r="Y33" t="s">
        <v>107</v>
      </c>
    </row>
    <row r="34" spans="1:25" x14ac:dyDescent="0.25">
      <c r="B34" s="13" t="s">
        <v>88</v>
      </c>
      <c r="C34" t="s">
        <v>89</v>
      </c>
      <c r="D34" t="s">
        <v>90</v>
      </c>
      <c r="E34" s="22" t="s">
        <v>91</v>
      </c>
    </row>
    <row r="35" spans="1:25" x14ac:dyDescent="0.25">
      <c r="B35" s="58">
        <f>E10</f>
        <v>0</v>
      </c>
      <c r="C35" s="59">
        <f>I10</f>
        <v>0</v>
      </c>
      <c r="D35" s="59">
        <f>M10</f>
        <v>0</v>
      </c>
      <c r="E35" s="60">
        <f>Q10</f>
        <v>0</v>
      </c>
      <c r="T35" s="1"/>
      <c r="U35" s="1"/>
      <c r="V35" s="1"/>
      <c r="W35" s="1"/>
    </row>
    <row r="36" spans="1:25" x14ac:dyDescent="0.25">
      <c r="B36" s="13" t="s">
        <v>88</v>
      </c>
      <c r="C36" t="s">
        <v>89</v>
      </c>
      <c r="D36" t="s">
        <v>90</v>
      </c>
      <c r="E36" s="22" t="s">
        <v>91</v>
      </c>
    </row>
    <row r="37" spans="1:25" x14ac:dyDescent="0.25">
      <c r="B37" s="52">
        <f>E11</f>
        <v>-0.2</v>
      </c>
      <c r="C37" s="53">
        <f>I11</f>
        <v>-0.2</v>
      </c>
      <c r="D37" s="53">
        <f>M11</f>
        <v>-0.2</v>
      </c>
      <c r="E37" s="54">
        <f>Q11</f>
        <v>-0.2</v>
      </c>
      <c r="T37" s="1"/>
      <c r="U37" s="1"/>
      <c r="V37" s="1"/>
      <c r="W37" s="1"/>
    </row>
    <row r="38" spans="1:25" x14ac:dyDescent="0.25">
      <c r="A38" t="s">
        <v>75</v>
      </c>
      <c r="B38" s="13" t="s">
        <v>88</v>
      </c>
      <c r="C38" t="s">
        <v>89</v>
      </c>
      <c r="D38" t="s">
        <v>90</v>
      </c>
      <c r="E38" s="22" t="s">
        <v>91</v>
      </c>
    </row>
    <row r="39" spans="1:25" x14ac:dyDescent="0.25">
      <c r="B39" s="55">
        <f>E12</f>
        <v>7.5999999999999998E-2</v>
      </c>
      <c r="C39" s="56">
        <f>I12</f>
        <v>0.152</v>
      </c>
      <c r="D39" s="56">
        <f>M12</f>
        <v>0.188</v>
      </c>
      <c r="E39" s="57">
        <f>Q12</f>
        <v>0.188</v>
      </c>
      <c r="T39" s="1"/>
      <c r="U39" s="1"/>
      <c r="V39" s="1"/>
      <c r="W39" s="1"/>
    </row>
    <row r="40" spans="1:25" x14ac:dyDescent="0.25">
      <c r="B40" s="13" t="s">
        <v>88</v>
      </c>
      <c r="C40" t="s">
        <v>89</v>
      </c>
      <c r="D40" t="s">
        <v>90</v>
      </c>
      <c r="E40" s="22" t="s">
        <v>91</v>
      </c>
    </row>
    <row r="41" spans="1:25" x14ac:dyDescent="0.25">
      <c r="B41" s="61">
        <f>E13</f>
        <v>0</v>
      </c>
      <c r="C41" s="62">
        <f>I13</f>
        <v>0</v>
      </c>
      <c r="D41" s="62">
        <f>M13</f>
        <v>0</v>
      </c>
      <c r="E41" s="63">
        <f>Q13</f>
        <v>0</v>
      </c>
      <c r="T41" s="1"/>
      <c r="U41" s="1"/>
      <c r="V41" s="1"/>
      <c r="W41" s="1"/>
    </row>
    <row r="42" spans="1:25" x14ac:dyDescent="0.25">
      <c r="B42" s="17" t="s">
        <v>88</v>
      </c>
      <c r="C42" s="18" t="s">
        <v>89</v>
      </c>
      <c r="D42" s="18" t="s">
        <v>90</v>
      </c>
      <c r="E42" s="19" t="s">
        <v>91</v>
      </c>
    </row>
    <row r="43" spans="1:25" x14ac:dyDescent="0.25">
      <c r="B43" s="52">
        <f>E14</f>
        <v>-0.2</v>
      </c>
      <c r="C43" s="53">
        <f>I14</f>
        <v>-0.2</v>
      </c>
      <c r="D43" s="53">
        <f>M14</f>
        <v>-0.2</v>
      </c>
      <c r="E43" s="54">
        <f>Q14</f>
        <v>-0.2</v>
      </c>
      <c r="T43" s="1"/>
      <c r="U43" s="1"/>
      <c r="V43" s="1"/>
      <c r="W43" s="1"/>
    </row>
    <row r="44" spans="1:25" x14ac:dyDescent="0.25">
      <c r="A44" t="s">
        <v>76</v>
      </c>
      <c r="B44" s="13" t="s">
        <v>88</v>
      </c>
      <c r="C44" t="s">
        <v>89</v>
      </c>
      <c r="D44" t="s">
        <v>90</v>
      </c>
      <c r="E44" s="22" t="s">
        <v>91</v>
      </c>
    </row>
    <row r="45" spans="1:25" x14ac:dyDescent="0.25">
      <c r="B45" s="55">
        <f>E15</f>
        <v>0.1</v>
      </c>
      <c r="C45" s="56">
        <f>I15</f>
        <v>0.2</v>
      </c>
      <c r="D45" s="56">
        <f>M15</f>
        <v>0.248</v>
      </c>
      <c r="E45" s="57">
        <f>Q15</f>
        <v>0.248</v>
      </c>
      <c r="T45" s="1"/>
      <c r="U45" s="1"/>
      <c r="V45" s="1"/>
      <c r="W45" s="1"/>
    </row>
    <row r="46" spans="1:25" x14ac:dyDescent="0.25">
      <c r="B46" s="13" t="s">
        <v>88</v>
      </c>
      <c r="C46" t="s">
        <v>89</v>
      </c>
      <c r="D46" t="s">
        <v>90</v>
      </c>
      <c r="E46" s="22" t="s">
        <v>91</v>
      </c>
    </row>
    <row r="47" spans="1:25" x14ac:dyDescent="0.25">
      <c r="B47" s="58">
        <f>E16</f>
        <v>0</v>
      </c>
      <c r="C47" s="59">
        <f>I16</f>
        <v>0</v>
      </c>
      <c r="D47" s="59">
        <f>M16</f>
        <v>0</v>
      </c>
      <c r="E47" s="60">
        <f>Q16</f>
        <v>0</v>
      </c>
      <c r="T47" s="1"/>
      <c r="U47" s="1"/>
      <c r="V47" s="1"/>
      <c r="W47" s="1"/>
    </row>
    <row r="51" spans="1:17" x14ac:dyDescent="0.25">
      <c r="A51" t="s">
        <v>106</v>
      </c>
      <c r="C51" t="s">
        <v>68</v>
      </c>
      <c r="G51" t="s">
        <v>69</v>
      </c>
      <c r="K51" t="s">
        <v>70</v>
      </c>
      <c r="O51" t="s">
        <v>77</v>
      </c>
    </row>
    <row r="52" spans="1:17" x14ac:dyDescent="0.25">
      <c r="B52" s="17" cm="1">
        <f t="array" ref="B52:B54">QualNum3*Qual[11]</f>
        <v>-0.2</v>
      </c>
      <c r="C52" s="18" cm="1">
        <f t="array" ref="C52:C54">SpeedNum3*Speed[11]</f>
        <v>0.21213199999999999</v>
      </c>
      <c r="D52" s="26" cm="1">
        <f t="array" ref="D52:D54">ProdNum3*Prod[11]</f>
        <v>0</v>
      </c>
      <c r="E52" s="49">
        <f t="shared" ref="E52:E66" si="22">B52+C52+D52</f>
        <v>1.2131999999999976E-2</v>
      </c>
      <c r="F52" s="18" cm="1">
        <f t="array" ref="F52:F54">QualNum3*Qual[21]</f>
        <v>-0.2</v>
      </c>
      <c r="G52" s="18" cm="1">
        <f t="array" ref="G52:G54">SpeedNum3*Speed[21]</f>
        <v>0.31819799999999998</v>
      </c>
      <c r="H52" s="27" cm="1">
        <f t="array" ref="H52:H54">ProdNum3*Prod[21]</f>
        <v>0</v>
      </c>
      <c r="I52" s="49">
        <f t="shared" ref="I52:I66" si="23">F52+G52+H52</f>
        <v>0.11819799999999997</v>
      </c>
      <c r="J52" s="17" cm="1">
        <f t="array" ref="J52:J54">QualNum3*Qual[31]</f>
        <v>-0.2</v>
      </c>
      <c r="K52" s="18" cm="1">
        <f t="array" ref="K52:K54">SpeedNum3*Speed[31]</f>
        <v>0.53032999999999997</v>
      </c>
      <c r="L52" s="27" cm="1">
        <f t="array" ref="L52:L54">ProdNum3*Prod[31]</f>
        <v>0</v>
      </c>
      <c r="M52" s="49">
        <f t="shared" ref="M52:M66" si="24">J52+K52+L52</f>
        <v>0.33032999999999996</v>
      </c>
      <c r="N52" s="17" cm="1">
        <f t="array" ref="N52:N54">QualNum3*Qual[31]</f>
        <v>-0.2</v>
      </c>
      <c r="O52" s="18" cm="1">
        <f t="array" ref="O52:O54">SpeedNum3*Speed[21]</f>
        <v>0.31819799999999998</v>
      </c>
      <c r="P52" s="27" cm="1">
        <f t="array" ref="P52:P54">ProdNum3*Prod[31]</f>
        <v>0</v>
      </c>
      <c r="Q52" s="49">
        <f t="shared" ref="Q52:Q66" si="25">N52+O52+P52</f>
        <v>0.11819799999999997</v>
      </c>
    </row>
    <row r="53" spans="1:17" x14ac:dyDescent="0.25">
      <c r="A53" s="48" t="s">
        <v>71</v>
      </c>
      <c r="B53" s="13">
        <v>0.04</v>
      </c>
      <c r="C53">
        <v>-1.0606599999999999E-2</v>
      </c>
      <c r="D53">
        <v>0</v>
      </c>
      <c r="E53" s="50">
        <f t="shared" si="22"/>
        <v>2.93934E-2</v>
      </c>
      <c r="F53">
        <v>0.08</v>
      </c>
      <c r="G53">
        <v>-1.5909899999999998E-2</v>
      </c>
      <c r="H53" s="22">
        <v>0</v>
      </c>
      <c r="I53" s="50">
        <f t="shared" si="23"/>
        <v>6.4090100000000011E-2</v>
      </c>
      <c r="J53" s="13">
        <v>0.1</v>
      </c>
      <c r="K53">
        <v>-2.6516499999999998E-2</v>
      </c>
      <c r="L53" s="22">
        <v>0</v>
      </c>
      <c r="M53" s="50">
        <f t="shared" si="24"/>
        <v>7.3483500000000007E-2</v>
      </c>
      <c r="N53" s="13">
        <v>0.1</v>
      </c>
      <c r="O53">
        <v>-1.5909899999999998E-2</v>
      </c>
      <c r="P53" s="22">
        <v>0</v>
      </c>
      <c r="Q53" s="50">
        <f t="shared" si="25"/>
        <v>8.4090100000000001E-2</v>
      </c>
    </row>
    <row r="54" spans="1:17" x14ac:dyDescent="0.25">
      <c r="A54" s="48"/>
      <c r="B54" s="14">
        <v>0</v>
      </c>
      <c r="C54" s="11">
        <v>0</v>
      </c>
      <c r="D54" s="11">
        <v>0</v>
      </c>
      <c r="E54" s="51">
        <f t="shared" si="22"/>
        <v>0</v>
      </c>
      <c r="F54" s="11">
        <v>0</v>
      </c>
      <c r="G54" s="11">
        <v>0</v>
      </c>
      <c r="H54" s="20">
        <v>0</v>
      </c>
      <c r="I54" s="51">
        <f t="shared" si="23"/>
        <v>0</v>
      </c>
      <c r="J54" s="14">
        <v>0</v>
      </c>
      <c r="K54" s="11">
        <v>0</v>
      </c>
      <c r="L54" s="20">
        <v>0</v>
      </c>
      <c r="M54" s="51">
        <f t="shared" si="24"/>
        <v>0</v>
      </c>
      <c r="N54" s="14">
        <v>0</v>
      </c>
      <c r="O54" s="11">
        <v>0</v>
      </c>
      <c r="P54" s="20">
        <v>0</v>
      </c>
      <c r="Q54" s="51">
        <f t="shared" si="25"/>
        <v>0</v>
      </c>
    </row>
    <row r="55" spans="1:17" x14ac:dyDescent="0.25">
      <c r="A55" s="48"/>
      <c r="B55" s="17" cm="1">
        <f t="array" ref="B55:B57">QualNum3*Qual[12]</f>
        <v>-0.2</v>
      </c>
      <c r="C55" s="18" cm="1">
        <f t="array" ref="C55:C57">SpeedNum3*Speed[12]</f>
        <v>0.27577160000000001</v>
      </c>
      <c r="D55" s="27" cm="1">
        <f t="array" ref="D55:D57">ProdNum3*Prod[12]</f>
        <v>0</v>
      </c>
      <c r="E55" s="49">
        <f t="shared" si="22"/>
        <v>7.5771599999999995E-2</v>
      </c>
      <c r="F55" s="18" cm="1">
        <f t="array" ref="F55:F57">QualNum3*Qual[22]</f>
        <v>-0.2</v>
      </c>
      <c r="G55" s="18" cm="1">
        <f t="array" ref="G55:G57">SpeedNum3*Speed[22]</f>
        <v>0.41365740000000001</v>
      </c>
      <c r="H55" s="27" cm="1">
        <f t="array" ref="H55:H57">ProdNum3*Prod[22]</f>
        <v>0</v>
      </c>
      <c r="I55" s="49">
        <f t="shared" si="23"/>
        <v>0.2136574</v>
      </c>
      <c r="J55" s="17" cm="1">
        <f t="array" ref="J55:J57">QualNum3*Qual[32]</f>
        <v>-0.2</v>
      </c>
      <c r="K55" s="18" cm="1">
        <f t="array" ref="K55:K57">SpeedNum3*Speed[32]</f>
        <v>0.68942899999999996</v>
      </c>
      <c r="L55" s="27" cm="1">
        <f t="array" ref="L55:L57">ProdNum3*Prod[32]</f>
        <v>0</v>
      </c>
      <c r="M55" s="49">
        <f t="shared" si="24"/>
        <v>0.48942899999999995</v>
      </c>
      <c r="N55" s="17" cm="1">
        <f t="array" ref="N55:N57">QualNum3*Qual[32]</f>
        <v>-0.2</v>
      </c>
      <c r="O55" s="18" cm="1">
        <f t="array" ref="O55:O57">SpeedNum3*Speed[22]</f>
        <v>0.41365740000000001</v>
      </c>
      <c r="P55" s="27" cm="1">
        <f t="array" ref="P55:P57">ProdNum3*Prod[32]</f>
        <v>0</v>
      </c>
      <c r="Q55" s="49">
        <f t="shared" si="25"/>
        <v>0.2136574</v>
      </c>
    </row>
    <row r="56" spans="1:17" x14ac:dyDescent="0.25">
      <c r="A56" s="48" t="s">
        <v>72</v>
      </c>
      <c r="B56" s="13">
        <v>5.1999999999999998E-2</v>
      </c>
      <c r="C56">
        <v>-1.0606599999999999E-2</v>
      </c>
      <c r="D56" s="22">
        <v>0</v>
      </c>
      <c r="E56" s="50">
        <f t="shared" si="22"/>
        <v>4.1393399999999997E-2</v>
      </c>
      <c r="F56">
        <v>0.104</v>
      </c>
      <c r="G56">
        <v>-1.5909899999999998E-2</v>
      </c>
      <c r="H56" s="22">
        <v>0</v>
      </c>
      <c r="I56" s="50">
        <f t="shared" si="23"/>
        <v>8.8090100000000005E-2</v>
      </c>
      <c r="J56" s="13">
        <v>0.128</v>
      </c>
      <c r="K56">
        <v>-2.6516499999999998E-2</v>
      </c>
      <c r="L56" s="22">
        <v>0</v>
      </c>
      <c r="M56" s="50">
        <f t="shared" si="24"/>
        <v>0.1014835</v>
      </c>
      <c r="N56" s="13">
        <v>0.128</v>
      </c>
      <c r="O56">
        <v>-1.5909899999999998E-2</v>
      </c>
      <c r="P56" s="22">
        <v>0</v>
      </c>
      <c r="Q56" s="50">
        <f t="shared" si="25"/>
        <v>0.1120901</v>
      </c>
    </row>
    <row r="57" spans="1:17" x14ac:dyDescent="0.25">
      <c r="A57" s="48"/>
      <c r="B57" s="14">
        <v>0</v>
      </c>
      <c r="C57" s="11">
        <v>0</v>
      </c>
      <c r="D57" s="20">
        <v>0</v>
      </c>
      <c r="E57" s="51">
        <f t="shared" si="22"/>
        <v>0</v>
      </c>
      <c r="F57" s="11">
        <v>0</v>
      </c>
      <c r="G57" s="11">
        <v>0</v>
      </c>
      <c r="H57" s="20">
        <v>0</v>
      </c>
      <c r="I57" s="51">
        <f t="shared" si="23"/>
        <v>0</v>
      </c>
      <c r="J57" s="14">
        <v>0</v>
      </c>
      <c r="K57" s="11">
        <v>0</v>
      </c>
      <c r="L57" s="20">
        <v>0</v>
      </c>
      <c r="M57" s="51">
        <f t="shared" si="24"/>
        <v>0</v>
      </c>
      <c r="N57" s="14">
        <v>0</v>
      </c>
      <c r="O57" s="11">
        <v>0</v>
      </c>
      <c r="P57" s="20">
        <v>0</v>
      </c>
      <c r="Q57" s="51">
        <f t="shared" si="25"/>
        <v>0</v>
      </c>
    </row>
    <row r="58" spans="1:17" x14ac:dyDescent="0.25">
      <c r="A58" s="48"/>
      <c r="B58" s="17" cm="1">
        <f t="array" ref="B58:B60">QualNum3*Qual[13]</f>
        <v>-0.2</v>
      </c>
      <c r="C58" s="18" cm="1">
        <f t="array" ref="C58:C60">SpeedNum3*Speed[13]</f>
        <v>0.33941119999999997</v>
      </c>
      <c r="D58" s="27" cm="1">
        <f t="array" ref="D58:D60">ProdNum3*Prod[13]</f>
        <v>0</v>
      </c>
      <c r="E58" s="49">
        <f t="shared" si="22"/>
        <v>0.13941119999999996</v>
      </c>
      <c r="F58" s="18" cm="1">
        <f t="array" ref="F58:F60">QualNum3*Qual[23]</f>
        <v>-0.2</v>
      </c>
      <c r="G58" s="18" cm="1">
        <f t="array" ref="G58:G60">SpeedNum3*Speed[23]</f>
        <v>0.50911679999999992</v>
      </c>
      <c r="H58" s="27" cm="1">
        <f t="array" ref="H58:H60">ProdNum3*Prod[23]</f>
        <v>0</v>
      </c>
      <c r="I58" s="49">
        <f t="shared" si="23"/>
        <v>0.30911679999999991</v>
      </c>
      <c r="J58" s="17" cm="1">
        <f t="array" ref="J58:J60">QualNum3*Qual[33]</f>
        <v>-0.2</v>
      </c>
      <c r="K58" s="18" cm="1">
        <f t="array" ref="K58:K60">SpeedNum3*Speed[33]</f>
        <v>0.84852799999999995</v>
      </c>
      <c r="L58" s="27" cm="1">
        <f t="array" ref="L58:L60">ProdNum3*Prod[33]</f>
        <v>0</v>
      </c>
      <c r="M58" s="49">
        <f t="shared" si="24"/>
        <v>0.64852799999999999</v>
      </c>
      <c r="N58" s="17" cm="1">
        <f t="array" ref="N58:N60">QualNum3*Qual[33]</f>
        <v>-0.2</v>
      </c>
      <c r="O58" s="18" cm="1">
        <f t="array" ref="O58:O60">SpeedNum3*Speed[23]</f>
        <v>0.50911679999999992</v>
      </c>
      <c r="P58" s="27" cm="1">
        <f t="array" ref="P58:P60">ProdNum3*Prod[33]</f>
        <v>0</v>
      </c>
      <c r="Q58" s="49">
        <f t="shared" si="25"/>
        <v>0.30911679999999991</v>
      </c>
    </row>
    <row r="59" spans="1:17" x14ac:dyDescent="0.25">
      <c r="A59" s="48" t="s">
        <v>73</v>
      </c>
      <c r="B59" s="13">
        <v>6.4000000000000001E-2</v>
      </c>
      <c r="C59">
        <v>-1.0606599999999999E-2</v>
      </c>
      <c r="D59" s="22">
        <v>0</v>
      </c>
      <c r="E59" s="50">
        <f t="shared" si="22"/>
        <v>5.3393400000000001E-2</v>
      </c>
      <c r="F59">
        <v>0.128</v>
      </c>
      <c r="G59">
        <v>-1.5909899999999998E-2</v>
      </c>
      <c r="H59" s="22">
        <v>0</v>
      </c>
      <c r="I59" s="50">
        <f t="shared" si="23"/>
        <v>0.1120901</v>
      </c>
      <c r="J59" s="13">
        <v>0.16</v>
      </c>
      <c r="K59">
        <v>-2.6516499999999998E-2</v>
      </c>
      <c r="L59" s="22">
        <v>0</v>
      </c>
      <c r="M59" s="50">
        <f t="shared" si="24"/>
        <v>0.1334835</v>
      </c>
      <c r="N59" s="13">
        <v>0.16</v>
      </c>
      <c r="O59">
        <v>-1.5909899999999998E-2</v>
      </c>
      <c r="P59" s="22">
        <v>0</v>
      </c>
      <c r="Q59" s="50">
        <f t="shared" si="25"/>
        <v>0.1440901</v>
      </c>
    </row>
    <row r="60" spans="1:17" x14ac:dyDescent="0.25">
      <c r="A60" s="48"/>
      <c r="B60" s="14">
        <v>0</v>
      </c>
      <c r="C60" s="11">
        <v>0</v>
      </c>
      <c r="D60" s="20">
        <v>0</v>
      </c>
      <c r="E60" s="51">
        <f t="shared" si="22"/>
        <v>0</v>
      </c>
      <c r="F60" s="11">
        <v>0</v>
      </c>
      <c r="G60" s="11">
        <v>0</v>
      </c>
      <c r="H60" s="20">
        <v>0</v>
      </c>
      <c r="I60" s="51">
        <f t="shared" si="23"/>
        <v>0</v>
      </c>
      <c r="J60" s="14">
        <v>0</v>
      </c>
      <c r="K60" s="11">
        <v>0</v>
      </c>
      <c r="L60" s="20">
        <v>0</v>
      </c>
      <c r="M60" s="51">
        <f t="shared" si="24"/>
        <v>0</v>
      </c>
      <c r="N60" s="14">
        <v>0</v>
      </c>
      <c r="O60" s="11">
        <v>0</v>
      </c>
      <c r="P60" s="20">
        <v>0</v>
      </c>
      <c r="Q60" s="51">
        <f t="shared" si="25"/>
        <v>0</v>
      </c>
    </row>
    <row r="61" spans="1:17" x14ac:dyDescent="0.25">
      <c r="A61" s="48"/>
      <c r="B61" s="17" cm="1">
        <f t="array" ref="B61:B63">QualNum3*Qual[14]</f>
        <v>-0.2</v>
      </c>
      <c r="C61" s="18" cm="1">
        <f t="array" ref="C61:C63">SpeedNum3*Speed[14]</f>
        <v>0.40305079999999999</v>
      </c>
      <c r="D61" s="27" cm="1">
        <f t="array" ref="D61:D63">ProdNum3*Prod[14]</f>
        <v>0</v>
      </c>
      <c r="E61" s="49">
        <f t="shared" si="22"/>
        <v>0.20305079999999998</v>
      </c>
      <c r="F61" s="18" cm="1">
        <f t="array" ref="F61:F63">QualNum3*Qual[24]</f>
        <v>-0.2</v>
      </c>
      <c r="G61" s="18" cm="1">
        <f t="array" ref="G61:G63">SpeedNum3*Speed[24]</f>
        <v>0.6045761999999999</v>
      </c>
      <c r="H61" s="27" cm="1">
        <f t="array" ref="H61:H63">ProdNum3*Prod[24]</f>
        <v>0</v>
      </c>
      <c r="I61" s="49">
        <f t="shared" si="23"/>
        <v>0.40457619999999989</v>
      </c>
      <c r="J61" s="17" cm="1">
        <f t="array" ref="J61:J63">QualNum3*Qual[34]</f>
        <v>-0.2</v>
      </c>
      <c r="K61" s="18" cm="1">
        <f t="array" ref="K61:K63">SpeedNum3*Speed[34]</f>
        <v>1.0076269999999998</v>
      </c>
      <c r="L61" s="27" cm="1">
        <f t="array" ref="L61:L63">ProdNum3*Prod[34]</f>
        <v>0</v>
      </c>
      <c r="M61" s="49">
        <f t="shared" si="24"/>
        <v>0.80762699999999987</v>
      </c>
      <c r="N61" s="17" cm="1">
        <f t="array" ref="N61:N63">QualNum3*Qual[34]</f>
        <v>-0.2</v>
      </c>
      <c r="O61" s="18" cm="1">
        <f t="array" ref="O61:O63">SpeedNum3*Speed[24]</f>
        <v>0.6045761999999999</v>
      </c>
      <c r="P61" s="27" cm="1">
        <f t="array" ref="P61:P63">ProdNum3*Prod[34]</f>
        <v>0</v>
      </c>
      <c r="Q61" s="49">
        <f t="shared" si="25"/>
        <v>0.40457619999999989</v>
      </c>
    </row>
    <row r="62" spans="1:17" x14ac:dyDescent="0.25">
      <c r="A62" s="48" t="s">
        <v>75</v>
      </c>
      <c r="B62" s="13">
        <v>7.5999999999999998E-2</v>
      </c>
      <c r="C62">
        <v>-1.0606599999999999E-2</v>
      </c>
      <c r="D62" s="22">
        <v>0</v>
      </c>
      <c r="E62" s="50">
        <f t="shared" si="22"/>
        <v>6.5393400000000004E-2</v>
      </c>
      <c r="F62">
        <v>0.152</v>
      </c>
      <c r="G62">
        <v>-1.5909899999999998E-2</v>
      </c>
      <c r="H62" s="22">
        <v>0</v>
      </c>
      <c r="I62" s="50">
        <f t="shared" si="23"/>
        <v>0.13609009999999999</v>
      </c>
      <c r="J62" s="13">
        <v>0.188</v>
      </c>
      <c r="K62">
        <v>-2.6516499999999998E-2</v>
      </c>
      <c r="L62" s="22">
        <v>0</v>
      </c>
      <c r="M62" s="50">
        <f t="shared" si="24"/>
        <v>0.1614835</v>
      </c>
      <c r="N62" s="13">
        <v>0.188</v>
      </c>
      <c r="O62">
        <v>-1.5909899999999998E-2</v>
      </c>
      <c r="P62" s="22">
        <v>0</v>
      </c>
      <c r="Q62" s="50">
        <f t="shared" si="25"/>
        <v>0.1720901</v>
      </c>
    </row>
    <row r="63" spans="1:17" x14ac:dyDescent="0.25">
      <c r="A63" s="48"/>
      <c r="B63" s="14">
        <v>0</v>
      </c>
      <c r="C63" s="11">
        <v>0</v>
      </c>
      <c r="D63" s="20">
        <v>0</v>
      </c>
      <c r="E63" s="51">
        <f t="shared" si="22"/>
        <v>0</v>
      </c>
      <c r="F63" s="11">
        <v>0</v>
      </c>
      <c r="G63" s="11">
        <v>0</v>
      </c>
      <c r="H63" s="20">
        <v>0</v>
      </c>
      <c r="I63" s="51">
        <f t="shared" si="23"/>
        <v>0</v>
      </c>
      <c r="J63" s="14">
        <v>0</v>
      </c>
      <c r="K63" s="11">
        <v>0</v>
      </c>
      <c r="L63" s="20">
        <v>0</v>
      </c>
      <c r="M63" s="51">
        <f t="shared" si="24"/>
        <v>0</v>
      </c>
      <c r="N63" s="14">
        <v>0</v>
      </c>
      <c r="O63" s="11">
        <v>0</v>
      </c>
      <c r="P63" s="20">
        <v>0</v>
      </c>
      <c r="Q63" s="51">
        <f t="shared" si="25"/>
        <v>0</v>
      </c>
    </row>
    <row r="64" spans="1:17" x14ac:dyDescent="0.25">
      <c r="A64" s="48"/>
      <c r="B64" s="17" cm="1">
        <f t="array" ref="B64:B66">QualNum3*Qual[15]</f>
        <v>-0.2</v>
      </c>
      <c r="C64" s="18" cm="1">
        <f t="array" ref="C64:C66">SpeedNum3*Speed[15]</f>
        <v>0.53032999999999997</v>
      </c>
      <c r="D64" s="27" cm="1">
        <f t="array" ref="D64:D66">ProdNum3*Prod[15]</f>
        <v>0</v>
      </c>
      <c r="E64" s="49">
        <f t="shared" si="22"/>
        <v>0.33032999999999996</v>
      </c>
      <c r="F64" s="18" cm="1">
        <f t="array" ref="F64:F66">QualNum3*Qual[25]</f>
        <v>-0.2</v>
      </c>
      <c r="G64" s="18" cm="1">
        <f t="array" ref="G64:G66">SpeedNum3*Speed[25]</f>
        <v>0.79549499999999995</v>
      </c>
      <c r="H64" s="27" cm="1">
        <f t="array" ref="H64:H66">ProdNum3*Prod[25]</f>
        <v>0</v>
      </c>
      <c r="I64" s="49">
        <f t="shared" si="23"/>
        <v>0.59549499999999989</v>
      </c>
      <c r="J64" s="17" cm="1">
        <f t="array" ref="J64:J66">QualNum3*Qual[35]</f>
        <v>-0.2</v>
      </c>
      <c r="K64" s="18" cm="1">
        <f t="array" ref="K64:K66">SpeedNum3*Speed[35]</f>
        <v>1.325825</v>
      </c>
      <c r="L64" s="27" cm="1">
        <f t="array" ref="L64:L66">ProdNum3*Prod[35]</f>
        <v>0</v>
      </c>
      <c r="M64" s="49">
        <f t="shared" si="24"/>
        <v>1.1258250000000001</v>
      </c>
      <c r="N64" s="17" cm="1">
        <f t="array" ref="N64:N66">QualNum3*Qual[35]</f>
        <v>-0.2</v>
      </c>
      <c r="O64" s="18" cm="1">
        <f t="array" ref="O64:O66">SpeedNum3*Speed[25]</f>
        <v>0.79549499999999995</v>
      </c>
      <c r="P64" s="27" cm="1">
        <f t="array" ref="P64:P66">ProdNum3*Prod[35]</f>
        <v>0</v>
      </c>
      <c r="Q64" s="49">
        <f t="shared" si="25"/>
        <v>0.59549499999999989</v>
      </c>
    </row>
    <row r="65" spans="1:17" x14ac:dyDescent="0.25">
      <c r="A65" s="48" t="s">
        <v>76</v>
      </c>
      <c r="B65" s="13">
        <v>0.1</v>
      </c>
      <c r="C65">
        <v>-1.0606599999999999E-2</v>
      </c>
      <c r="D65" s="22">
        <v>0</v>
      </c>
      <c r="E65" s="50">
        <f t="shared" si="22"/>
        <v>8.9393400000000012E-2</v>
      </c>
      <c r="F65">
        <v>0.2</v>
      </c>
      <c r="G65">
        <v>-1.5909899999999998E-2</v>
      </c>
      <c r="H65" s="22">
        <v>0</v>
      </c>
      <c r="I65" s="50">
        <f t="shared" si="23"/>
        <v>0.18409010000000001</v>
      </c>
      <c r="J65" s="13">
        <v>0.248</v>
      </c>
      <c r="K65">
        <v>-2.6516499999999998E-2</v>
      </c>
      <c r="L65" s="22">
        <v>0</v>
      </c>
      <c r="M65" s="50">
        <f t="shared" si="24"/>
        <v>0.2214835</v>
      </c>
      <c r="N65" s="13">
        <v>0.248</v>
      </c>
      <c r="O65">
        <v>-1.5909899999999998E-2</v>
      </c>
      <c r="P65" s="22">
        <v>0</v>
      </c>
      <c r="Q65" s="50">
        <f t="shared" si="25"/>
        <v>0.23209009999999999</v>
      </c>
    </row>
    <row r="66" spans="1:17" x14ac:dyDescent="0.25">
      <c r="B66" s="14">
        <v>0</v>
      </c>
      <c r="C66" s="11">
        <v>0</v>
      </c>
      <c r="D66" s="20">
        <v>0</v>
      </c>
      <c r="E66" s="51">
        <f t="shared" si="22"/>
        <v>0</v>
      </c>
      <c r="F66" s="11">
        <v>0</v>
      </c>
      <c r="G66" s="11">
        <v>0</v>
      </c>
      <c r="H66" s="20">
        <v>0</v>
      </c>
      <c r="I66" s="51">
        <f t="shared" si="23"/>
        <v>0</v>
      </c>
      <c r="J66" s="14">
        <v>0</v>
      </c>
      <c r="K66" s="11">
        <v>0</v>
      </c>
      <c r="L66" s="20">
        <v>0</v>
      </c>
      <c r="M66" s="51">
        <f t="shared" si="24"/>
        <v>0</v>
      </c>
      <c r="N66" s="14">
        <v>0</v>
      </c>
      <c r="O66" s="11">
        <v>0</v>
      </c>
      <c r="P66" s="20">
        <v>0</v>
      </c>
      <c r="Q66" s="51">
        <f t="shared" si="25"/>
        <v>0</v>
      </c>
    </row>
    <row r="68" spans="1:17" x14ac:dyDescent="0.25">
      <c r="A68" t="s">
        <v>79</v>
      </c>
      <c r="B68">
        <v>1</v>
      </c>
      <c r="C68">
        <v>2</v>
      </c>
      <c r="D68">
        <v>3</v>
      </c>
      <c r="E68">
        <v>4</v>
      </c>
    </row>
    <row r="69" spans="1:17" x14ac:dyDescent="0.25">
      <c r="B69" s="80">
        <f>E52</f>
        <v>1.2131999999999976E-2</v>
      </c>
      <c r="C69" s="26">
        <f>I52</f>
        <v>0.11819799999999997</v>
      </c>
      <c r="D69" s="26">
        <f>M52</f>
        <v>0.33032999999999996</v>
      </c>
      <c r="E69" s="27">
        <f>Q52</f>
        <v>0.11819799999999997</v>
      </c>
      <c r="G69" s="12"/>
      <c r="H69" s="12" t="s">
        <v>68</v>
      </c>
      <c r="I69" s="12" t="s">
        <v>69</v>
      </c>
      <c r="J69" s="12" t="s">
        <v>70</v>
      </c>
      <c r="K69" s="12" t="s">
        <v>74</v>
      </c>
      <c r="M69" s="12"/>
      <c r="N69" s="12" t="s">
        <v>68</v>
      </c>
      <c r="O69" s="12" t="s">
        <v>69</v>
      </c>
      <c r="P69" s="12" t="s">
        <v>70</v>
      </c>
      <c r="Q69" s="12" t="s">
        <v>74</v>
      </c>
    </row>
    <row r="70" spans="1:17" x14ac:dyDescent="0.25">
      <c r="A70" t="s">
        <v>54</v>
      </c>
      <c r="B70" s="75">
        <f t="shared" ref="B70:B83" si="26">E53</f>
        <v>2.93934E-2</v>
      </c>
      <c r="C70" s="1">
        <f t="shared" ref="C70:C83" si="27">I53</f>
        <v>6.4090100000000011E-2</v>
      </c>
      <c r="D70" s="1">
        <f t="shared" ref="D70:D83" si="28">M53</f>
        <v>7.3483500000000007E-2</v>
      </c>
      <c r="E70" s="76">
        <f t="shared" ref="E70:E83" si="29">Q53</f>
        <v>8.4090100000000001E-2</v>
      </c>
      <c r="G70" s="12" t="s">
        <v>71</v>
      </c>
      <c r="H70" s="70">
        <f>100*(1+B69)*(1+B71)*B70</f>
        <v>2.9750000728799999</v>
      </c>
      <c r="I70" s="70">
        <f t="shared" ref="I70" si="30">100*(1+C69)*(1+C71)*C70</f>
        <v>7.1665421639800009</v>
      </c>
      <c r="J70" s="70">
        <f t="shared" ref="J70" si="31">100*(1+D69)*(1+D71)*D70</f>
        <v>9.7757304555000015</v>
      </c>
      <c r="K70" s="70">
        <f t="shared" ref="K70" si="32">100*(1+E69)*(1+E71)*E70</f>
        <v>9.40293816398</v>
      </c>
      <c r="M70" s="12" t="s">
        <v>71</v>
      </c>
      <c r="N70" s="70">
        <f>H70</f>
        <v>2.9750000728799999</v>
      </c>
      <c r="O70" s="70">
        <f t="shared" ref="O70" si="33">I70</f>
        <v>7.1665421639800009</v>
      </c>
      <c r="P70" s="70">
        <f t="shared" ref="P70" si="34">J70</f>
        <v>9.7757304555000015</v>
      </c>
      <c r="Q70" s="70">
        <f t="shared" ref="Q70" si="35">K70</f>
        <v>9.40293816398</v>
      </c>
    </row>
    <row r="71" spans="1:17" x14ac:dyDescent="0.25">
      <c r="B71" s="77">
        <f t="shared" si="26"/>
        <v>0</v>
      </c>
      <c r="C71" s="78">
        <f t="shared" si="27"/>
        <v>0</v>
      </c>
      <c r="D71" s="78">
        <f t="shared" si="28"/>
        <v>0</v>
      </c>
      <c r="E71" s="79">
        <f t="shared" si="29"/>
        <v>0</v>
      </c>
      <c r="M71" s="12" t="s">
        <v>72</v>
      </c>
      <c r="N71" s="71">
        <f>H72</f>
        <v>4.452984414743999</v>
      </c>
      <c r="O71" s="71">
        <f t="shared" ref="O71" si="36">I72</f>
        <v>10.691120173174001</v>
      </c>
      <c r="P71" s="71">
        <f t="shared" ref="P71" si="37">J72</f>
        <v>15.115246792149998</v>
      </c>
      <c r="Q71" s="71">
        <f t="shared" ref="Q71" si="38">K72</f>
        <v>13.603897933174</v>
      </c>
    </row>
    <row r="72" spans="1:17" x14ac:dyDescent="0.25">
      <c r="B72" s="80">
        <f t="shared" si="26"/>
        <v>7.5771599999999995E-2</v>
      </c>
      <c r="C72" s="26">
        <f t="shared" si="27"/>
        <v>0.2136574</v>
      </c>
      <c r="D72" s="26">
        <f t="shared" si="28"/>
        <v>0.48942899999999995</v>
      </c>
      <c r="E72" s="27">
        <f t="shared" si="29"/>
        <v>0.2136574</v>
      </c>
      <c r="G72" s="12" t="s">
        <v>72</v>
      </c>
      <c r="H72" s="71">
        <f>100*(1+B72)*(1+B74)*B73</f>
        <v>4.452984414743999</v>
      </c>
      <c r="I72" s="71">
        <f t="shared" ref="I72" si="39">100*(1+C72)*(1+C74)*C73</f>
        <v>10.691120173174001</v>
      </c>
      <c r="J72" s="71">
        <f t="shared" ref="J72" si="40">100*(1+D72)*(1+D74)*D73</f>
        <v>15.115246792149998</v>
      </c>
      <c r="K72" s="71">
        <f t="shared" ref="K72" si="41">100*(1+E72)*(1+E74)*E73</f>
        <v>13.603897933174</v>
      </c>
      <c r="M72" s="12" t="s">
        <v>73</v>
      </c>
      <c r="N72" s="72">
        <f>H75</f>
        <v>6.0837037966080008</v>
      </c>
      <c r="O72" s="72">
        <f t="shared" ref="O72" si="42">I75</f>
        <v>14.673903302367998</v>
      </c>
      <c r="P72" s="72">
        <f t="shared" ref="P72" si="43">J75</f>
        <v>22.005128728800003</v>
      </c>
      <c r="Q72" s="72">
        <f t="shared" ref="Q72" si="44">K75</f>
        <v>18.863077062367999</v>
      </c>
    </row>
    <row r="73" spans="1:17" x14ac:dyDescent="0.25">
      <c r="A73" t="s">
        <v>57</v>
      </c>
      <c r="B73" s="75">
        <f t="shared" si="26"/>
        <v>4.1393399999999997E-2</v>
      </c>
      <c r="C73" s="1">
        <f t="shared" si="27"/>
        <v>8.8090100000000005E-2</v>
      </c>
      <c r="D73" s="1">
        <f t="shared" si="28"/>
        <v>0.1014835</v>
      </c>
      <c r="E73" s="76">
        <f t="shared" si="29"/>
        <v>0.1120901</v>
      </c>
      <c r="M73" s="12" t="s">
        <v>75</v>
      </c>
      <c r="N73" s="73">
        <f>H78</f>
        <v>7.8671582184720004</v>
      </c>
      <c r="O73" s="73">
        <f t="shared" ref="O73" si="45">I78</f>
        <v>19.114891551561996</v>
      </c>
      <c r="P73" s="73">
        <f t="shared" ref="P73" si="46">J78</f>
        <v>29.190193465450001</v>
      </c>
      <c r="Q73" s="73">
        <f t="shared" ref="Q73" si="47">K78</f>
        <v>24.171365871561999</v>
      </c>
    </row>
    <row r="74" spans="1:17" x14ac:dyDescent="0.25">
      <c r="B74" s="77">
        <f t="shared" si="26"/>
        <v>0</v>
      </c>
      <c r="C74" s="78">
        <f t="shared" si="27"/>
        <v>0</v>
      </c>
      <c r="D74" s="78">
        <f t="shared" si="28"/>
        <v>0</v>
      </c>
      <c r="E74" s="79">
        <f t="shared" si="29"/>
        <v>0</v>
      </c>
      <c r="M74" s="12" t="s">
        <v>76</v>
      </c>
      <c r="N74" s="74">
        <f>H81</f>
        <v>11.892272182200003</v>
      </c>
      <c r="O74" s="74">
        <f t="shared" ref="O74" si="48">I81</f>
        <v>29.371483409949999</v>
      </c>
      <c r="P74" s="74">
        <f t="shared" ref="P74" si="49">J81</f>
        <v>47.083516138749999</v>
      </c>
      <c r="Q74" s="74">
        <f t="shared" ref="Q74" si="50">K81</f>
        <v>37.029859409949999</v>
      </c>
    </row>
    <row r="75" spans="1:17" x14ac:dyDescent="0.25">
      <c r="B75" s="80">
        <f t="shared" si="26"/>
        <v>0.13941119999999996</v>
      </c>
      <c r="C75" s="26">
        <f t="shared" si="27"/>
        <v>0.30911679999999991</v>
      </c>
      <c r="D75" s="26">
        <f t="shared" si="28"/>
        <v>0.64852799999999999</v>
      </c>
      <c r="E75" s="27">
        <f t="shared" si="29"/>
        <v>0.30911679999999991</v>
      </c>
      <c r="G75" s="12" t="s">
        <v>73</v>
      </c>
      <c r="H75" s="72">
        <f>100*(1+B75)*(1+B77)*B76</f>
        <v>6.0837037966080008</v>
      </c>
      <c r="I75" s="72">
        <f t="shared" ref="I75" si="51">100*(1+C75)*(1+C77)*C76</f>
        <v>14.673903302367998</v>
      </c>
      <c r="J75" s="72">
        <f t="shared" ref="J75" si="52">100*(1+D75)*(1+D77)*D76</f>
        <v>22.005128728800003</v>
      </c>
      <c r="K75" s="72">
        <f t="shared" ref="K75" si="53">100*(1+E75)*(1+E77)*E76</f>
        <v>18.863077062367999</v>
      </c>
    </row>
    <row r="76" spans="1:17" x14ac:dyDescent="0.25">
      <c r="A76" t="s">
        <v>60</v>
      </c>
      <c r="B76" s="75">
        <f t="shared" si="26"/>
        <v>5.3393400000000001E-2</v>
      </c>
      <c r="C76" s="1">
        <f t="shared" si="27"/>
        <v>0.1120901</v>
      </c>
      <c r="D76" s="1">
        <f t="shared" si="28"/>
        <v>0.1334835</v>
      </c>
      <c r="E76" s="76">
        <f t="shared" si="29"/>
        <v>0.1440901</v>
      </c>
    </row>
    <row r="77" spans="1:17" x14ac:dyDescent="0.25">
      <c r="B77" s="77">
        <f t="shared" si="26"/>
        <v>0</v>
      </c>
      <c r="C77" s="78">
        <f t="shared" si="27"/>
        <v>0</v>
      </c>
      <c r="D77" s="78">
        <f t="shared" si="28"/>
        <v>0</v>
      </c>
      <c r="E77" s="79">
        <f t="shared" si="29"/>
        <v>0</v>
      </c>
    </row>
    <row r="78" spans="1:17" x14ac:dyDescent="0.25">
      <c r="B78" s="80">
        <f t="shared" si="26"/>
        <v>0.20305079999999998</v>
      </c>
      <c r="C78" s="26">
        <f t="shared" si="27"/>
        <v>0.40457619999999989</v>
      </c>
      <c r="D78" s="26">
        <f t="shared" si="28"/>
        <v>0.80762699999999987</v>
      </c>
      <c r="E78" s="27">
        <f t="shared" si="29"/>
        <v>0.40457619999999989</v>
      </c>
      <c r="G78" s="12" t="s">
        <v>75</v>
      </c>
      <c r="H78" s="73">
        <f>100*(1+B78)*(1+B80)*B79</f>
        <v>7.8671582184720004</v>
      </c>
      <c r="I78" s="73">
        <f t="shared" ref="I78" si="54">100*(1+C78)*(1+C80)*C79</f>
        <v>19.114891551561996</v>
      </c>
      <c r="J78" s="73">
        <f t="shared" ref="J78" si="55">100*(1+D78)*(1+D80)*D79</f>
        <v>29.190193465450001</v>
      </c>
      <c r="K78" s="73">
        <f t="shared" ref="K78" si="56">100*(1+E78)*(1+E80)*E79</f>
        <v>24.171365871561999</v>
      </c>
    </row>
    <row r="79" spans="1:17" x14ac:dyDescent="0.25">
      <c r="A79" t="s">
        <v>94</v>
      </c>
      <c r="B79" s="75">
        <f t="shared" si="26"/>
        <v>6.5393400000000004E-2</v>
      </c>
      <c r="C79" s="1">
        <f t="shared" si="27"/>
        <v>0.13609009999999999</v>
      </c>
      <c r="D79" s="1">
        <f t="shared" si="28"/>
        <v>0.1614835</v>
      </c>
      <c r="E79" s="76">
        <f t="shared" si="29"/>
        <v>0.1720901</v>
      </c>
    </row>
    <row r="80" spans="1:17" x14ac:dyDescent="0.25">
      <c r="B80" s="77">
        <f t="shared" si="26"/>
        <v>0</v>
      </c>
      <c r="C80" s="78">
        <f t="shared" si="27"/>
        <v>0</v>
      </c>
      <c r="D80" s="78">
        <f t="shared" si="28"/>
        <v>0</v>
      </c>
      <c r="E80" s="79">
        <f t="shared" si="29"/>
        <v>0</v>
      </c>
    </row>
    <row r="81" spans="1:11" x14ac:dyDescent="0.25">
      <c r="B81" s="80">
        <f t="shared" si="26"/>
        <v>0.33032999999999996</v>
      </c>
      <c r="C81" s="26">
        <f t="shared" si="27"/>
        <v>0.59549499999999989</v>
      </c>
      <c r="D81" s="26">
        <f t="shared" si="28"/>
        <v>1.1258250000000001</v>
      </c>
      <c r="E81" s="27">
        <f t="shared" si="29"/>
        <v>0.59549499999999989</v>
      </c>
      <c r="G81" s="12" t="s">
        <v>76</v>
      </c>
      <c r="H81" s="81">
        <f>100*(1+B81)*(1+B83)*B82</f>
        <v>11.892272182200003</v>
      </c>
      <c r="I81" s="81">
        <f t="shared" ref="I81" si="57">100*(1+C81)*(1+C83)*C82</f>
        <v>29.371483409949999</v>
      </c>
      <c r="J81" s="81">
        <f t="shared" ref="J81" si="58">100*(1+D81)*(1+D83)*D82</f>
        <v>47.083516138749999</v>
      </c>
      <c r="K81" s="81">
        <f t="shared" ref="K81" si="59">100*(1+E81)*(1+E83)*E82</f>
        <v>37.029859409949999</v>
      </c>
    </row>
    <row r="82" spans="1:11" x14ac:dyDescent="0.25">
      <c r="A82" t="s">
        <v>95</v>
      </c>
      <c r="B82" s="75">
        <f t="shared" si="26"/>
        <v>8.9393400000000012E-2</v>
      </c>
      <c r="C82" s="1">
        <f t="shared" si="27"/>
        <v>0.18409010000000001</v>
      </c>
      <c r="D82" s="1">
        <f t="shared" si="28"/>
        <v>0.2214835</v>
      </c>
      <c r="E82" s="76">
        <f t="shared" si="29"/>
        <v>0.23209009999999999</v>
      </c>
    </row>
    <row r="83" spans="1:11" x14ac:dyDescent="0.25">
      <c r="B83" s="77">
        <f t="shared" si="26"/>
        <v>0</v>
      </c>
      <c r="C83" s="78">
        <f t="shared" si="27"/>
        <v>0</v>
      </c>
      <c r="D83" s="78">
        <f t="shared" si="28"/>
        <v>0</v>
      </c>
      <c r="E83" s="79">
        <f t="shared" si="29"/>
        <v>0</v>
      </c>
      <c r="G83" t="s">
        <v>97</v>
      </c>
    </row>
  </sheetData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46"/>
  <sheetViews>
    <sheetView topLeftCell="A16" workbookViewId="0">
      <selection activeCell="G47" sqref="G47"/>
    </sheetView>
  </sheetViews>
  <sheetFormatPr defaultRowHeight="15" x14ac:dyDescent="0.25"/>
  <cols>
    <col min="1" max="1" width="9.140625" customWidth="1"/>
    <col min="5" max="5" width="9.140625" customWidth="1"/>
    <col min="10" max="10" width="9.140625" customWidth="1"/>
  </cols>
  <sheetData>
    <row r="2" spans="1:23" x14ac:dyDescent="0.25">
      <c r="H2">
        <v>0.8</v>
      </c>
      <c r="I2">
        <v>100</v>
      </c>
      <c r="J2">
        <f>I2*(1+H2)</f>
        <v>180</v>
      </c>
    </row>
    <row r="3" spans="1:23" x14ac:dyDescent="0.25">
      <c r="H3">
        <v>-0.8</v>
      </c>
      <c r="I3">
        <v>100</v>
      </c>
      <c r="J3">
        <f>I3*(1+H3)</f>
        <v>19.999999999999996</v>
      </c>
    </row>
    <row r="6" spans="1:23" x14ac:dyDescent="0.25">
      <c r="D6" s="11" t="s">
        <v>28</v>
      </c>
      <c r="E6" s="11" t="s">
        <v>29</v>
      </c>
    </row>
    <row r="7" spans="1:23" x14ac:dyDescent="0.25">
      <c r="A7" s="1"/>
      <c r="B7" s="1"/>
      <c r="C7" t="s">
        <v>0</v>
      </c>
      <c r="D7" cm="1">
        <f t="array" ref="D7:D9">4*Speed[11]</f>
        <v>0.8</v>
      </c>
      <c r="E7">
        <f>100*(1+D7)</f>
        <v>180</v>
      </c>
      <c r="F7" t="s">
        <v>36</v>
      </c>
    </row>
    <row r="8" spans="1:23" x14ac:dyDescent="0.25">
      <c r="C8" t="s">
        <v>4</v>
      </c>
      <c r="D8">
        <v>-0.04</v>
      </c>
      <c r="E8">
        <f>E7*(D8)</f>
        <v>-7.2</v>
      </c>
      <c r="F8" t="s">
        <v>35</v>
      </c>
      <c r="M8" t="s">
        <v>39</v>
      </c>
    </row>
    <row r="9" spans="1:23" x14ac:dyDescent="0.25">
      <c r="C9" t="s">
        <v>31</v>
      </c>
      <c r="D9">
        <v>0</v>
      </c>
      <c r="J9" s="11" t="s">
        <v>30</v>
      </c>
      <c r="K9" s="11" t="s">
        <v>33</v>
      </c>
      <c r="L9" s="11" t="s">
        <v>40</v>
      </c>
      <c r="M9" s="11" t="s">
        <v>34</v>
      </c>
      <c r="N9" s="11" t="s">
        <v>29</v>
      </c>
    </row>
    <row r="10" spans="1:23" x14ac:dyDescent="0.25">
      <c r="I10" t="s">
        <v>0</v>
      </c>
      <c r="J10" cm="1">
        <f t="array" ref="J10:J12">4*Qual[11]</f>
        <v>-0.2</v>
      </c>
      <c r="K10" cm="1">
        <f t="array" ref="K10:K12">1*Speed[11]</f>
        <v>0.2</v>
      </c>
      <c r="L10" s="1" cm="1">
        <f t="array" ref="L10:L12">Prod[11]</f>
        <v>-0.05</v>
      </c>
      <c r="M10" s="1">
        <f>J10+K10+L10</f>
        <v>-0.05</v>
      </c>
      <c r="N10" s="12">
        <f>100*(1+M10)*(1+M12)</f>
        <v>98.8</v>
      </c>
      <c r="O10" s="14" t="s">
        <v>36</v>
      </c>
    </row>
    <row r="11" spans="1:23" x14ac:dyDescent="0.25">
      <c r="D11" s="11" t="s">
        <v>30</v>
      </c>
      <c r="E11" s="11" t="s">
        <v>29</v>
      </c>
      <c r="I11" t="s">
        <v>4</v>
      </c>
      <c r="J11">
        <v>0.04</v>
      </c>
      <c r="K11">
        <v>-0.01</v>
      </c>
      <c r="L11">
        <v>0</v>
      </c>
      <c r="M11">
        <f>J11+K11+L11</f>
        <v>0.03</v>
      </c>
      <c r="N11" s="12">
        <f>N10*(M11)</f>
        <v>2.964</v>
      </c>
      <c r="O11" s="14" t="s">
        <v>35</v>
      </c>
    </row>
    <row r="12" spans="1:23" x14ac:dyDescent="0.25">
      <c r="D12" cm="1">
        <f t="array" ref="D12:D14">4*Qual[11]</f>
        <v>-0.2</v>
      </c>
      <c r="E12">
        <f>100*(1+D12)</f>
        <v>80</v>
      </c>
      <c r="F12" t="s">
        <v>36</v>
      </c>
      <c r="I12" t="s">
        <v>31</v>
      </c>
      <c r="J12">
        <v>0</v>
      </c>
      <c r="K12">
        <v>0</v>
      </c>
      <c r="L12">
        <v>0.04</v>
      </c>
      <c r="M12">
        <f>L12+K12+J12</f>
        <v>0.04</v>
      </c>
    </row>
    <row r="13" spans="1:23" x14ac:dyDescent="0.25">
      <c r="D13">
        <v>0.04</v>
      </c>
      <c r="E13">
        <f>E12*(D13)</f>
        <v>3.2</v>
      </c>
      <c r="F13" t="s">
        <v>35</v>
      </c>
    </row>
    <row r="14" spans="1:23" x14ac:dyDescent="0.25">
      <c r="D14">
        <v>0</v>
      </c>
    </row>
    <row r="15" spans="1:23" x14ac:dyDescent="0.25">
      <c r="J15" s="17" t="s">
        <v>42</v>
      </c>
      <c r="K15" s="18"/>
      <c r="L15" s="19"/>
      <c r="Q15" s="17" t="s">
        <v>47</v>
      </c>
      <c r="R15" s="18"/>
      <c r="S15" s="18"/>
      <c r="T15" s="18"/>
      <c r="U15" s="18"/>
      <c r="V15" s="19"/>
      <c r="W15" s="19"/>
    </row>
    <row r="16" spans="1:23" ht="15.75" thickBot="1" x14ac:dyDescent="0.3">
      <c r="D16" t="s">
        <v>32</v>
      </c>
      <c r="J16" s="23">
        <v>1</v>
      </c>
      <c r="K16" t="s">
        <v>43</v>
      </c>
      <c r="L16" s="22"/>
      <c r="Q16" s="13"/>
      <c r="R16" t="s">
        <v>4</v>
      </c>
      <c r="S16" t="s">
        <v>0</v>
      </c>
      <c r="T16" t="s">
        <v>31</v>
      </c>
      <c r="U16" s="11" t="s">
        <v>34</v>
      </c>
      <c r="V16" s="20" t="s">
        <v>29</v>
      </c>
      <c r="W16" s="22"/>
    </row>
    <row r="17" spans="1:23" ht="15.75" thickBot="1" x14ac:dyDescent="0.3">
      <c r="B17" s="11" t="s">
        <v>30</v>
      </c>
      <c r="C17" s="11" t="s">
        <v>33</v>
      </c>
      <c r="D17" s="11" t="s">
        <v>34</v>
      </c>
      <c r="E17" s="11" t="s">
        <v>29</v>
      </c>
      <c r="J17" s="23">
        <v>1.5</v>
      </c>
      <c r="K17" t="s">
        <v>44</v>
      </c>
      <c r="L17" s="22"/>
      <c r="Q17" s="13" t="s">
        <v>41</v>
      </c>
      <c r="R17" s="28">
        <v>4</v>
      </c>
      <c r="S17" s="29">
        <v>0</v>
      </c>
      <c r="T17" s="30">
        <v>0</v>
      </c>
      <c r="U17" s="1">
        <f>R17+S17+T17</f>
        <v>4</v>
      </c>
      <c r="V17" s="22"/>
      <c r="W17" s="22"/>
    </row>
    <row r="18" spans="1:23" x14ac:dyDescent="0.25">
      <c r="A18" t="s">
        <v>0</v>
      </c>
      <c r="B18" cm="1">
        <f t="array" ref="B18:B20">4*Qual[11]</f>
        <v>-0.2</v>
      </c>
      <c r="C18" cm="1">
        <f t="array" ref="C18:C20">1*Speed[11]</f>
        <v>0.2</v>
      </c>
      <c r="D18">
        <f>B18+C18</f>
        <v>0</v>
      </c>
      <c r="E18">
        <f>100*(1+D18)*(1+D20)</f>
        <v>100</v>
      </c>
      <c r="F18" t="s">
        <v>36</v>
      </c>
      <c r="J18" s="21">
        <v>1</v>
      </c>
      <c r="K18" t="s">
        <v>45</v>
      </c>
      <c r="L18" s="22"/>
      <c r="Q18" s="23" t="s">
        <v>0</v>
      </c>
      <c r="R18" cm="1">
        <f t="array" ref="R18:R20">R17*Qual[11]</f>
        <v>-0.2</v>
      </c>
      <c r="S18" cm="1">
        <f t="array" ref="S18:S20">S17*Speed[11]</f>
        <v>0</v>
      </c>
      <c r="T18" s="1" cm="1">
        <f t="array" ref="T18:T20">T17*Prod[11]</f>
        <v>0</v>
      </c>
      <c r="U18" s="1">
        <f>R18+S18+T18</f>
        <v>-0.2</v>
      </c>
      <c r="V18" s="24">
        <f>100*(1+U18)*(1+U20)</f>
        <v>80</v>
      </c>
      <c r="W18" s="25" t="s">
        <v>36</v>
      </c>
    </row>
    <row r="19" spans="1:23" x14ac:dyDescent="0.25">
      <c r="A19" t="s">
        <v>4</v>
      </c>
      <c r="B19">
        <v>0.04</v>
      </c>
      <c r="C19">
        <v>-0.01</v>
      </c>
      <c r="D19">
        <f>B19+C19</f>
        <v>0.03</v>
      </c>
      <c r="E19">
        <f>E18*(D19)</f>
        <v>3</v>
      </c>
      <c r="F19" t="s">
        <v>35</v>
      </c>
      <c r="J19" s="12">
        <f>J18*(J17/SQRT(J16))</f>
        <v>1.5</v>
      </c>
      <c r="K19" s="11" t="s">
        <v>46</v>
      </c>
      <c r="L19" s="20"/>
      <c r="Q19" s="23" t="s">
        <v>4</v>
      </c>
      <c r="R19">
        <v>0.04</v>
      </c>
      <c r="S19">
        <v>0</v>
      </c>
      <c r="T19">
        <v>0</v>
      </c>
      <c r="U19">
        <f>R19+S19+T19</f>
        <v>0.04</v>
      </c>
      <c r="V19" s="14">
        <f>V18*(U19)</f>
        <v>3.2</v>
      </c>
      <c r="W19" s="20" t="s">
        <v>35</v>
      </c>
    </row>
    <row r="20" spans="1:23" x14ac:dyDescent="0.25">
      <c r="A20" t="s">
        <v>31</v>
      </c>
      <c r="B20">
        <v>0</v>
      </c>
      <c r="C20">
        <v>0</v>
      </c>
      <c r="D20">
        <f>C20+B20</f>
        <v>0</v>
      </c>
      <c r="Q20" s="21" t="s">
        <v>31</v>
      </c>
      <c r="R20" s="11">
        <v>0</v>
      </c>
      <c r="S20" s="11">
        <v>0</v>
      </c>
      <c r="T20" s="11">
        <v>0</v>
      </c>
      <c r="U20" s="11">
        <f>T20+S20+R20</f>
        <v>0</v>
      </c>
      <c r="V20" s="20"/>
      <c r="W20" s="20"/>
    </row>
    <row r="23" spans="1:23" x14ac:dyDescent="0.25">
      <c r="A23" s="17" t="s">
        <v>47</v>
      </c>
      <c r="B23" s="18"/>
      <c r="C23" s="18"/>
      <c r="D23" s="18"/>
      <c r="E23" s="18"/>
      <c r="F23" s="19"/>
      <c r="G23" s="19"/>
      <c r="I23" s="17" t="s">
        <v>48</v>
      </c>
      <c r="J23" s="18"/>
      <c r="K23" s="18"/>
      <c r="L23" s="18"/>
      <c r="M23" s="18"/>
      <c r="N23" s="19"/>
      <c r="O23" s="19"/>
      <c r="Q23" s="17" t="s">
        <v>49</v>
      </c>
      <c r="R23" s="18"/>
      <c r="S23" s="18"/>
      <c r="T23" s="18"/>
      <c r="U23" s="18"/>
      <c r="V23" s="19"/>
      <c r="W23" s="19"/>
    </row>
    <row r="24" spans="1:23" ht="15.75" thickBot="1" x14ac:dyDescent="0.3">
      <c r="A24" s="13"/>
      <c r="B24" t="s">
        <v>54</v>
      </c>
      <c r="C24" t="s">
        <v>55</v>
      </c>
      <c r="D24" t="s">
        <v>56</v>
      </c>
      <c r="E24" s="11" t="s">
        <v>34</v>
      </c>
      <c r="F24" s="20" t="s">
        <v>29</v>
      </c>
      <c r="G24" s="22"/>
      <c r="I24" s="13"/>
      <c r="J24" t="s">
        <v>57</v>
      </c>
      <c r="K24" t="s">
        <v>58</v>
      </c>
      <c r="L24" t="s">
        <v>59</v>
      </c>
      <c r="M24" s="11" t="s">
        <v>34</v>
      </c>
      <c r="N24" s="20" t="s">
        <v>29</v>
      </c>
      <c r="O24" s="22"/>
      <c r="Q24" s="13"/>
      <c r="R24" t="s">
        <v>60</v>
      </c>
      <c r="S24" t="s">
        <v>61</v>
      </c>
      <c r="T24" t="s">
        <v>62</v>
      </c>
      <c r="U24" s="11" t="s">
        <v>34</v>
      </c>
      <c r="V24" s="20" t="s">
        <v>29</v>
      </c>
      <c r="W24" s="22"/>
    </row>
    <row r="25" spans="1:23" ht="15.75" thickBot="1" x14ac:dyDescent="0.3">
      <c r="A25" s="13" t="s">
        <v>41</v>
      </c>
      <c r="B25" s="28">
        <v>4</v>
      </c>
      <c r="C25" s="29">
        <v>1</v>
      </c>
      <c r="D25" s="30">
        <v>1</v>
      </c>
      <c r="E25" s="1">
        <f>B25+C25+D25</f>
        <v>6</v>
      </c>
      <c r="F25" s="22"/>
      <c r="G25" s="22"/>
      <c r="I25" s="13" t="s">
        <v>41</v>
      </c>
      <c r="J25" s="28">
        <v>4</v>
      </c>
      <c r="K25" s="29">
        <v>1</v>
      </c>
      <c r="L25" s="30">
        <v>0</v>
      </c>
      <c r="M25" s="1">
        <f>J25+K25+L25</f>
        <v>5</v>
      </c>
      <c r="N25" s="22"/>
      <c r="O25" s="22"/>
      <c r="Q25" s="13" t="s">
        <v>41</v>
      </c>
      <c r="R25" s="28">
        <v>4</v>
      </c>
      <c r="S25" s="29">
        <v>1</v>
      </c>
      <c r="T25" s="30">
        <v>0</v>
      </c>
      <c r="U25" s="1">
        <f>R25+S25+T25</f>
        <v>5</v>
      </c>
      <c r="V25" s="22"/>
      <c r="W25" s="22"/>
    </row>
    <row r="26" spans="1:23" x14ac:dyDescent="0.25">
      <c r="A26" s="23" t="s">
        <v>0</v>
      </c>
      <c r="B26" cm="1">
        <f t="array" ref="B26:B28">B25*Qual[11]</f>
        <v>-0.2</v>
      </c>
      <c r="C26" cm="1">
        <f t="array" ref="C26:C28">C25*Speed[11]</f>
        <v>0.2</v>
      </c>
      <c r="D26" s="1" cm="1">
        <f t="array" ref="D26:D28">D25*Prod[11]</f>
        <v>-0.05</v>
      </c>
      <c r="E26" s="1">
        <f>B26+C26+D26</f>
        <v>-0.05</v>
      </c>
      <c r="F26" s="24">
        <f>100*(1+E26)*(1+E28)</f>
        <v>98.8</v>
      </c>
      <c r="G26" s="25" t="s">
        <v>36</v>
      </c>
      <c r="I26" s="23" t="s">
        <v>0</v>
      </c>
      <c r="J26" s="13" cm="1">
        <f t="array" ref="J26:J28">J25*Qual[21]</f>
        <v>-0.2</v>
      </c>
      <c r="K26" cm="1">
        <f t="array" ref="K26:K28">K25*Speed[21]</f>
        <v>0.3</v>
      </c>
      <c r="L26" s="1" cm="1">
        <f t="array" ref="L26:L28">L25*Prod[21]</f>
        <v>0</v>
      </c>
      <c r="M26" s="27">
        <f>J26+K26+L26</f>
        <v>9.9999999999999978E-2</v>
      </c>
      <c r="N26" s="24">
        <f>100*(1+M26)*(1+M28)</f>
        <v>110.00000000000001</v>
      </c>
      <c r="O26" s="25" t="s">
        <v>36</v>
      </c>
      <c r="Q26" s="23" t="s">
        <v>0</v>
      </c>
      <c r="R26" s="13" cm="1">
        <f t="array" ref="R26:R28">R25*Qual[31]</f>
        <v>-0.2</v>
      </c>
      <c r="S26" cm="1">
        <f t="array" ref="S26:S28">S25*Speed[31]</f>
        <v>0.5</v>
      </c>
      <c r="T26" s="1" cm="1">
        <f t="array" ref="T26:T28">T25*Prod[31]</f>
        <v>0</v>
      </c>
      <c r="U26" s="27">
        <f>R26+S26+T26</f>
        <v>0.3</v>
      </c>
      <c r="V26" s="24">
        <f>100*(1+U26)*(1+U28)</f>
        <v>130</v>
      </c>
      <c r="W26" s="25" t="s">
        <v>36</v>
      </c>
    </row>
    <row r="27" spans="1:23" x14ac:dyDescent="0.25">
      <c r="A27" s="23" t="s">
        <v>4</v>
      </c>
      <c r="B27">
        <v>0.04</v>
      </c>
      <c r="C27">
        <v>-0.01</v>
      </c>
      <c r="D27">
        <v>0</v>
      </c>
      <c r="E27">
        <f>B27+C27+D27</f>
        <v>0.03</v>
      </c>
      <c r="F27" s="14">
        <f>F26*(E27)</f>
        <v>2.964</v>
      </c>
      <c r="G27" s="20" t="s">
        <v>35</v>
      </c>
      <c r="I27" s="23" t="s">
        <v>4</v>
      </c>
      <c r="J27">
        <v>0.08</v>
      </c>
      <c r="K27">
        <v>-1.4999999999999999E-2</v>
      </c>
      <c r="L27">
        <v>0</v>
      </c>
      <c r="M27">
        <f>J27+K27+L27</f>
        <v>6.5000000000000002E-2</v>
      </c>
      <c r="N27" s="14">
        <f>N26*(M27)</f>
        <v>7.1500000000000012</v>
      </c>
      <c r="O27" s="20" t="s">
        <v>35</v>
      </c>
      <c r="Q27" s="23" t="s">
        <v>4</v>
      </c>
      <c r="R27">
        <v>0.1</v>
      </c>
      <c r="S27">
        <v>-2.5000000000000001E-2</v>
      </c>
      <c r="T27">
        <v>0</v>
      </c>
      <c r="U27">
        <f>R27+S27+T27</f>
        <v>7.5000000000000011E-2</v>
      </c>
      <c r="V27" s="14">
        <f>V26*(U27)</f>
        <v>9.7500000000000018</v>
      </c>
      <c r="W27" s="20" t="s">
        <v>35</v>
      </c>
    </row>
    <row r="28" spans="1:23" x14ac:dyDescent="0.25">
      <c r="A28" s="21" t="s">
        <v>31</v>
      </c>
      <c r="B28" s="11">
        <v>0</v>
      </c>
      <c r="C28" s="11">
        <v>0</v>
      </c>
      <c r="D28" s="11">
        <v>0.04</v>
      </c>
      <c r="E28" s="11">
        <f>D28+C28+B28</f>
        <v>0.04</v>
      </c>
      <c r="F28" s="20"/>
      <c r="G28" s="20"/>
      <c r="I28" s="21" t="s">
        <v>31</v>
      </c>
      <c r="J28" s="11">
        <v>0</v>
      </c>
      <c r="K28" s="11">
        <v>0</v>
      </c>
      <c r="L28" s="11">
        <v>0</v>
      </c>
      <c r="M28" s="11">
        <f>L28+K28+J28</f>
        <v>0</v>
      </c>
      <c r="N28" s="20"/>
      <c r="O28" s="20"/>
      <c r="Q28" s="21" t="s">
        <v>31</v>
      </c>
      <c r="R28" s="11">
        <v>0</v>
      </c>
      <c r="S28" s="11">
        <v>0</v>
      </c>
      <c r="T28" s="11">
        <v>0</v>
      </c>
      <c r="U28" s="11">
        <f>T28+S28+R28</f>
        <v>0</v>
      </c>
      <c r="V28" s="20"/>
      <c r="W28" s="20"/>
    </row>
    <row r="30" spans="1:23" x14ac:dyDescent="0.25">
      <c r="A30" s="17" t="s">
        <v>50</v>
      </c>
      <c r="B30" s="18"/>
      <c r="C30" s="18"/>
      <c r="D30" s="18"/>
      <c r="E30" s="18"/>
      <c r="F30" s="19"/>
      <c r="G30" s="19"/>
      <c r="I30" s="17" t="s">
        <v>51</v>
      </c>
      <c r="J30" s="18"/>
      <c r="K30" s="18"/>
      <c r="L30" s="18"/>
      <c r="M30" s="18"/>
      <c r="N30" s="19"/>
      <c r="O30" s="19"/>
      <c r="Q30" s="17" t="s">
        <v>52</v>
      </c>
      <c r="R30" s="18"/>
      <c r="S30" s="18"/>
      <c r="T30" s="18"/>
      <c r="U30" s="18"/>
      <c r="V30" s="19"/>
      <c r="W30" s="19"/>
    </row>
    <row r="31" spans="1:23" ht="15.75" thickBot="1" x14ac:dyDescent="0.3">
      <c r="A31" s="13"/>
      <c r="B31" t="s">
        <v>54</v>
      </c>
      <c r="C31" t="s">
        <v>55</v>
      </c>
      <c r="D31" t="s">
        <v>56</v>
      </c>
      <c r="E31" s="11" t="s">
        <v>34</v>
      </c>
      <c r="F31" s="20" t="s">
        <v>29</v>
      </c>
      <c r="G31" s="22"/>
      <c r="I31" s="13"/>
      <c r="J31" t="s">
        <v>57</v>
      </c>
      <c r="K31" t="s">
        <v>58</v>
      </c>
      <c r="L31" t="s">
        <v>59</v>
      </c>
      <c r="M31" s="11" t="s">
        <v>34</v>
      </c>
      <c r="N31" s="20" t="s">
        <v>29</v>
      </c>
      <c r="O31" s="22"/>
      <c r="Q31" s="13"/>
      <c r="R31" t="s">
        <v>60</v>
      </c>
      <c r="S31" t="s">
        <v>61</v>
      </c>
      <c r="T31" t="s">
        <v>62</v>
      </c>
      <c r="U31" s="11" t="s">
        <v>34</v>
      </c>
      <c r="V31" s="20" t="s">
        <v>29</v>
      </c>
      <c r="W31" s="22"/>
    </row>
    <row r="32" spans="1:23" ht="15.75" thickBot="1" x14ac:dyDescent="0.3">
      <c r="A32" s="13" t="s">
        <v>41</v>
      </c>
      <c r="B32" s="28">
        <v>4</v>
      </c>
      <c r="C32" s="29">
        <v>0</v>
      </c>
      <c r="D32" s="30">
        <v>0</v>
      </c>
      <c r="E32" s="1">
        <f>B32+C32+D32</f>
        <v>4</v>
      </c>
      <c r="F32" s="22"/>
      <c r="G32" s="22"/>
      <c r="I32" s="13" t="s">
        <v>41</v>
      </c>
      <c r="J32" s="28">
        <v>4</v>
      </c>
      <c r="K32" s="29">
        <v>1</v>
      </c>
      <c r="L32" s="30">
        <v>0</v>
      </c>
      <c r="M32" s="1">
        <f>J32+K32+L32</f>
        <v>5</v>
      </c>
      <c r="N32" s="22"/>
      <c r="O32" s="22"/>
      <c r="Q32" s="13" t="s">
        <v>41</v>
      </c>
      <c r="R32" s="28">
        <v>4</v>
      </c>
      <c r="S32" s="29">
        <v>1</v>
      </c>
      <c r="T32" s="30">
        <v>0</v>
      </c>
      <c r="U32" s="1">
        <f>R32+S32+T32</f>
        <v>5</v>
      </c>
      <c r="V32" s="22"/>
      <c r="W32" s="22"/>
    </row>
    <row r="33" spans="1:23" x14ac:dyDescent="0.25">
      <c r="A33" s="23" t="s">
        <v>0</v>
      </c>
      <c r="B33" cm="1">
        <f t="array" ref="B33:B35">B32*Qual[12]</f>
        <v>-0.2</v>
      </c>
      <c r="C33" cm="1">
        <f t="array" ref="C33:C35">C32*Speed[12]</f>
        <v>0</v>
      </c>
      <c r="D33" s="1" cm="1">
        <f t="array" ref="D33:D35">D32*Prod[12]</f>
        <v>0</v>
      </c>
      <c r="E33" s="1">
        <f>B33+C33+D33</f>
        <v>-0.2</v>
      </c>
      <c r="F33" s="24">
        <f>100*(1+E33)*(1+E35)</f>
        <v>80</v>
      </c>
      <c r="G33" s="25" t="s">
        <v>36</v>
      </c>
      <c r="I33" s="23" t="s">
        <v>0</v>
      </c>
      <c r="J33" s="13" cm="1">
        <f t="array" ref="J33:J35">J32*Qual[22]</f>
        <v>-0.2</v>
      </c>
      <c r="K33" cm="1">
        <f t="array" ref="K33:K35">K32*Speed[22]</f>
        <v>0.39</v>
      </c>
      <c r="L33" s="1" cm="1">
        <f t="array" ref="L33:L35">L32*Prod[22]</f>
        <v>0</v>
      </c>
      <c r="M33" s="27">
        <f>J33+K33+L33</f>
        <v>0.19</v>
      </c>
      <c r="N33" s="24">
        <f>100*(1+M33)*(1+M35)</f>
        <v>119</v>
      </c>
      <c r="O33" s="25" t="s">
        <v>36</v>
      </c>
      <c r="Q33" s="23" t="s">
        <v>0</v>
      </c>
      <c r="R33" s="13" cm="1">
        <f t="array" ref="R33:R35">R32*Qual[32]</f>
        <v>-0.2</v>
      </c>
      <c r="S33" cm="1">
        <f t="array" ref="S33:S35">S32*Speed[32]</f>
        <v>0.65</v>
      </c>
      <c r="T33" s="1" cm="1">
        <f t="array" ref="T33:T35">T32*Prod[32]</f>
        <v>0</v>
      </c>
      <c r="U33" s="27">
        <f>R33+S33+T33</f>
        <v>0.45</v>
      </c>
      <c r="V33" s="24">
        <f>100*(1+U33)*(1+U35)</f>
        <v>145</v>
      </c>
      <c r="W33" s="25" t="s">
        <v>36</v>
      </c>
    </row>
    <row r="34" spans="1:23" x14ac:dyDescent="0.25">
      <c r="A34" s="23" t="s">
        <v>4</v>
      </c>
      <c r="B34">
        <v>5.1999999999999998E-2</v>
      </c>
      <c r="C34">
        <v>0</v>
      </c>
      <c r="D34">
        <v>0</v>
      </c>
      <c r="E34">
        <f>B34+C34+D34</f>
        <v>5.1999999999999998E-2</v>
      </c>
      <c r="F34" s="14">
        <f>F33*(E34)</f>
        <v>4.16</v>
      </c>
      <c r="G34" s="20" t="s">
        <v>35</v>
      </c>
      <c r="I34" s="23" t="s">
        <v>4</v>
      </c>
      <c r="J34">
        <v>0.104</v>
      </c>
      <c r="K34">
        <v>-1.4999999999999999E-2</v>
      </c>
      <c r="L34">
        <v>0</v>
      </c>
      <c r="M34">
        <f>J34+K34+L34</f>
        <v>8.8999999999999996E-2</v>
      </c>
      <c r="N34" s="14">
        <f>N33*(M34)</f>
        <v>10.590999999999999</v>
      </c>
      <c r="O34" s="20" t="s">
        <v>35</v>
      </c>
      <c r="Q34" s="23" t="s">
        <v>4</v>
      </c>
      <c r="R34">
        <v>0.128</v>
      </c>
      <c r="S34">
        <v>-2.5000000000000001E-2</v>
      </c>
      <c r="T34">
        <v>0</v>
      </c>
      <c r="U34">
        <f>R34+S34+T34</f>
        <v>0.10300000000000001</v>
      </c>
      <c r="V34" s="14">
        <f>V33*(U34)</f>
        <v>14.935</v>
      </c>
      <c r="W34" s="20" t="s">
        <v>35</v>
      </c>
    </row>
    <row r="35" spans="1:23" x14ac:dyDescent="0.25">
      <c r="A35" s="21" t="s">
        <v>31</v>
      </c>
      <c r="B35" s="11">
        <v>0</v>
      </c>
      <c r="C35" s="11">
        <v>0</v>
      </c>
      <c r="D35" s="11">
        <v>0</v>
      </c>
      <c r="E35" s="11">
        <f>D35+C35+B35</f>
        <v>0</v>
      </c>
      <c r="F35" s="20"/>
      <c r="G35" s="20"/>
      <c r="I35" s="21" t="s">
        <v>31</v>
      </c>
      <c r="J35" s="11">
        <v>0</v>
      </c>
      <c r="K35" s="11">
        <v>0</v>
      </c>
      <c r="L35" s="11">
        <v>0</v>
      </c>
      <c r="M35" s="11">
        <f>L35+K35+J35</f>
        <v>0</v>
      </c>
      <c r="N35" s="20"/>
      <c r="O35" s="20"/>
      <c r="Q35" s="21" t="s">
        <v>31</v>
      </c>
      <c r="R35" s="11">
        <v>0</v>
      </c>
      <c r="S35" s="11">
        <v>0</v>
      </c>
      <c r="T35" s="11">
        <v>0</v>
      </c>
      <c r="U35" s="11">
        <f>T35+S35+R35</f>
        <v>0</v>
      </c>
      <c r="V35" s="20"/>
      <c r="W35" s="20"/>
    </row>
    <row r="38" spans="1:23" ht="15.75" thickBot="1" x14ac:dyDescent="0.3">
      <c r="A38" s="17"/>
      <c r="B38" s="18" t="s">
        <v>4</v>
      </c>
      <c r="C38" s="18" t="s">
        <v>0</v>
      </c>
      <c r="D38" s="18" t="s">
        <v>31</v>
      </c>
      <c r="E38" s="19" t="s">
        <v>34</v>
      </c>
    </row>
    <row r="39" spans="1:23" ht="15.75" thickBot="1" x14ac:dyDescent="0.3">
      <c r="A39" s="13" t="s">
        <v>41</v>
      </c>
      <c r="B39" s="28">
        <v>1</v>
      </c>
      <c r="C39" s="29">
        <v>0</v>
      </c>
      <c r="D39" s="30">
        <v>0</v>
      </c>
      <c r="E39" s="22">
        <f>B39+C39+D39</f>
        <v>1</v>
      </c>
      <c r="I39" s="1"/>
      <c r="L39" s="1"/>
      <c r="O39" s="1"/>
      <c r="R39" s="1"/>
    </row>
    <row r="40" spans="1:23" x14ac:dyDescent="0.25">
      <c r="A40" s="12"/>
      <c r="B40" s="21" t="s">
        <v>68</v>
      </c>
      <c r="C40" s="21" t="s">
        <v>69</v>
      </c>
      <c r="D40" s="21" t="s">
        <v>70</v>
      </c>
      <c r="E40" s="12" t="s">
        <v>74</v>
      </c>
      <c r="G40" t="s">
        <v>80</v>
      </c>
    </row>
    <row r="41" spans="1:23" x14ac:dyDescent="0.25">
      <c r="A41" s="12" t="s">
        <v>71</v>
      </c>
      <c r="B41" s="70" cm="1">
        <f t="array" ref="B41">100*(1+SpeedN[1])*(1+ProdN[1])*QualN[1]</f>
        <v>3.2</v>
      </c>
      <c r="C41" s="70" cm="1">
        <f t="array" ref="C41">100*(1+SpeedN[2])*(1+ProdN[2])*QualN[2]</f>
        <v>6.4</v>
      </c>
      <c r="D41" s="70" cm="1">
        <f t="array" ref="D41">100*(1+SpeedN[3])*(1+ProdN[3])*QualN[3]</f>
        <v>8</v>
      </c>
      <c r="E41" s="64" cm="1">
        <f t="array" ref="E41">100*(1+SpeedN[4])*(1+ProdN[4])*QualN[4]</f>
        <v>8</v>
      </c>
      <c r="G41" t="s">
        <v>81</v>
      </c>
    </row>
    <row r="42" spans="1:23" x14ac:dyDescent="0.25">
      <c r="A42" s="12" t="s">
        <v>72</v>
      </c>
      <c r="B42" s="71" cm="1">
        <f t="array" ref="B42">100*(1+SpeedU[1])*(1+ProdU[1])*QualU[1]</f>
        <v>4.16</v>
      </c>
      <c r="C42" s="71" cm="1">
        <f t="array" ref="C42">100*(1+SpeedU[2])*(1+ProdU[2])*QualU[2]</f>
        <v>8.32</v>
      </c>
      <c r="D42" s="71" cm="1">
        <f t="array" ref="D42">100*(1+SpeedU[3])*(1+ProdU[3])*QualU[3]</f>
        <v>10.24</v>
      </c>
      <c r="E42" s="65" cm="1">
        <f t="array" ref="E42">100*(1+SpeedU[4])*(1+ProdU[4])*QualU[4]</f>
        <v>10.24</v>
      </c>
      <c r="G42" s="47" t="s">
        <v>82</v>
      </c>
      <c r="I42" s="1"/>
      <c r="L42" s="1"/>
    </row>
    <row r="43" spans="1:23" x14ac:dyDescent="0.25">
      <c r="A43" s="12" t="s">
        <v>73</v>
      </c>
      <c r="B43" s="72" cm="1">
        <f t="array" ref="B43">100*(1+SpeedR[1])*(1+ProdR[1])*QualR[1]</f>
        <v>5.12</v>
      </c>
      <c r="C43" s="72" cm="1">
        <f t="array" ref="C43">100*(1+SpeedR[2])*(1+ProdR[2])*QualR[2]</f>
        <v>10.24</v>
      </c>
      <c r="D43" s="72" cm="1">
        <f t="array" ref="D43">100*(1+SpeedR[3])*(1+ProdR[3])*QualR[3]</f>
        <v>12.8</v>
      </c>
      <c r="E43" s="66" cm="1">
        <f t="array" ref="E43">100*(1+SpeedR[4])*(1+ProdR[4])*QualR[4]</f>
        <v>12.8</v>
      </c>
      <c r="G43" t="s">
        <v>83</v>
      </c>
    </row>
    <row r="44" spans="1:23" x14ac:dyDescent="0.25">
      <c r="A44" s="12" t="s">
        <v>75</v>
      </c>
      <c r="B44" s="73" cm="1">
        <f t="array" ref="B44">100*(1+SpeedE[1])*(1+ProdE[1])*QualE[1]</f>
        <v>6.08</v>
      </c>
      <c r="C44" s="73" cm="1">
        <f t="array" ref="C44">100*(1+SpeedE[2])*(1+ProdE[2])*QualE[2]</f>
        <v>12.16</v>
      </c>
      <c r="D44" s="73" cm="1">
        <f t="array" ref="D44">100*(1+SpeedE[3])*(1+ProdE[3])*QualE[3]</f>
        <v>15.04</v>
      </c>
      <c r="E44" s="67" cm="1">
        <f t="array" ref="E44">100*(1+SpeedE[4])*(1+ProdE[4])*QualE[4]</f>
        <v>15.04</v>
      </c>
      <c r="G44" t="s">
        <v>84</v>
      </c>
    </row>
    <row r="45" spans="1:23" x14ac:dyDescent="0.25">
      <c r="A45" s="12" t="s">
        <v>76</v>
      </c>
      <c r="B45" s="74" cm="1">
        <f t="array" ref="B45">100*(1+SpeedL[1])*(1+ProdL[1])*QualL[1]</f>
        <v>8</v>
      </c>
      <c r="C45" s="74" cm="1">
        <f t="array" ref="C45">100*(1+SpeedL[2])*(1+ProdL[2])*QualL[2]</f>
        <v>16</v>
      </c>
      <c r="D45" s="74" cm="1">
        <f t="array" ref="D45">100*(1+SpeedL[3])*(1+ProdL[3])*QualL[3]</f>
        <v>19.84</v>
      </c>
      <c r="E45" s="68" cm="1">
        <f t="array" ref="E45">100*(1+SpeedL[4])*(1+ProdL[4])*QualL[4]</f>
        <v>19.84</v>
      </c>
      <c r="G45" t="s">
        <v>93</v>
      </c>
    </row>
    <row r="46" spans="1:23" x14ac:dyDescent="0.25">
      <c r="G46" t="s">
        <v>92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3824B4-C6CD-4F7C-BE62-229539BC73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10</vt:i4>
      </vt:variant>
    </vt:vector>
  </HeadingPairs>
  <TitlesOfParts>
    <vt:vector size="14" baseType="lpstr">
      <vt:lpstr>Tables</vt:lpstr>
      <vt:lpstr>Raw Data</vt:lpstr>
      <vt:lpstr>Calcs</vt:lpstr>
      <vt:lpstr>Testing of stuff</vt:lpstr>
      <vt:lpstr>ModNum</vt:lpstr>
      <vt:lpstr>ProdNum</vt:lpstr>
      <vt:lpstr>ProdNum2</vt:lpstr>
      <vt:lpstr>ProdNum3</vt:lpstr>
      <vt:lpstr>QualNum</vt:lpstr>
      <vt:lpstr>QualNum2</vt:lpstr>
      <vt:lpstr>QualNum3</vt:lpstr>
      <vt:lpstr>SpeedNum</vt:lpstr>
      <vt:lpstr>SpeedNum2</vt:lpstr>
      <vt:lpstr>SpeedNum3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2026-04-17T00:31:35Z</dcterms:modified>
</cp:coreProperties>
</file>